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\Desktop\"/>
    </mc:Choice>
  </mc:AlternateContent>
  <xr:revisionPtr revIDLastSave="0" documentId="13_ncr:1_{ADEF0BA7-D5F9-4333-AFC5-F1C6CF64FAD0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Uvod" sheetId="1" r:id="rId1"/>
    <sheet name="Posao ili Ceo dan" sheetId="2" r:id="rId2"/>
    <sheet name="Zadatak-ulazni podaci" sheetId="3" r:id="rId3"/>
    <sheet name="Zadatak-rezultati" sheetId="4" r:id="rId4"/>
    <sheet name="Jezik" sheetId="5" r:id="rId5"/>
  </sheets>
  <calcPr calcId="191029"/>
</workbook>
</file>

<file path=xl/calcChain.xml><?xml version="1.0" encoding="utf-8"?>
<calcChain xmlns="http://schemas.openxmlformats.org/spreadsheetml/2006/main">
  <c r="K27" i="3" l="1"/>
  <c r="L36" i="1" l="1"/>
  <c r="L37" i="1"/>
  <c r="L35" i="1"/>
  <c r="L38" i="1"/>
  <c r="C37" i="1" s="1"/>
  <c r="B6" i="5"/>
  <c r="I87" i="5"/>
  <c r="B16" i="1" s="1"/>
  <c r="J87" i="5"/>
  <c r="K87" i="5"/>
  <c r="L87" i="5"/>
  <c r="M87" i="5"/>
  <c r="N87" i="5"/>
  <c r="F87" i="5"/>
  <c r="E87" i="5"/>
  <c r="E18" i="2"/>
  <c r="J18" i="2"/>
  <c r="J19" i="2"/>
  <c r="C28" i="2"/>
  <c r="O12" i="2"/>
  <c r="P12" i="2" s="1"/>
  <c r="O7" i="2"/>
  <c r="P7" i="2" s="1"/>
  <c r="O8" i="2"/>
  <c r="P8" i="2" s="1"/>
  <c r="O9" i="2"/>
  <c r="P9" i="2" s="1"/>
  <c r="O10" i="2"/>
  <c r="P10" i="2" s="1"/>
  <c r="O11" i="2"/>
  <c r="P11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 s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8" i="2"/>
  <c r="N7" i="2"/>
  <c r="G87" i="5"/>
  <c r="G31" i="5"/>
  <c r="H87" i="5"/>
  <c r="D87" i="5"/>
  <c r="E31" i="5"/>
  <c r="F31" i="5"/>
  <c r="H31" i="5"/>
  <c r="I31" i="5"/>
  <c r="H1" i="4" s="1"/>
  <c r="J31" i="5"/>
  <c r="K31" i="5"/>
  <c r="L31" i="5"/>
  <c r="M31" i="5"/>
  <c r="N31" i="5"/>
  <c r="D31" i="5"/>
  <c r="I27" i="3"/>
  <c r="X31" i="3" s="1"/>
  <c r="Q12" i="4" s="1"/>
  <c r="X14" i="3"/>
  <c r="X9" i="3"/>
  <c r="X10" i="3"/>
  <c r="X11" i="3"/>
  <c r="X12" i="3"/>
  <c r="X13" i="3"/>
  <c r="X15" i="3"/>
  <c r="X16" i="3"/>
  <c r="X17" i="3"/>
  <c r="X18" i="3"/>
  <c r="X19" i="3"/>
  <c r="X20" i="3"/>
  <c r="X21" i="3"/>
  <c r="X22" i="3"/>
  <c r="X23" i="3"/>
  <c r="J31" i="3"/>
  <c r="Q11" i="4" s="1"/>
  <c r="X35" i="3"/>
  <c r="X36" i="3"/>
  <c r="H31" i="3"/>
  <c r="P11" i="4" s="1"/>
  <c r="G27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35" i="3"/>
  <c r="W36" i="3"/>
  <c r="F31" i="3"/>
  <c r="O11" i="4" s="1"/>
  <c r="E27" i="3"/>
  <c r="V31" i="3" s="1"/>
  <c r="O12" i="4" s="1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35" i="3"/>
  <c r="V36" i="3"/>
  <c r="Y36" i="3"/>
  <c r="Y35" i="3"/>
  <c r="Z36" i="3"/>
  <c r="Z35" i="3"/>
  <c r="AA36" i="3"/>
  <c r="AA35" i="3"/>
  <c r="P31" i="3"/>
  <c r="T11" i="4" s="1"/>
  <c r="O27" i="3"/>
  <c r="M27" i="3"/>
  <c r="Z25" i="3" s="1"/>
  <c r="M29" i="3" s="1"/>
  <c r="S10" i="4" s="1"/>
  <c r="Z9" i="3"/>
  <c r="N31" i="3"/>
  <c r="Y10" i="3"/>
  <c r="L31" i="3"/>
  <c r="R11" i="4" s="1"/>
  <c r="AB35" i="3"/>
  <c r="AB36" i="3"/>
  <c r="R31" i="3"/>
  <c r="Q27" i="3"/>
  <c r="AB24" i="3" s="1"/>
  <c r="AB9" i="3"/>
  <c r="AB10" i="3"/>
  <c r="AB11" i="3"/>
  <c r="Z10" i="3"/>
  <c r="Z32" i="3"/>
  <c r="S13" i="4" s="1"/>
  <c r="AB32" i="3"/>
  <c r="U13" i="4" s="1"/>
  <c r="W32" i="3"/>
  <c r="P13" i="4" s="1"/>
  <c r="X32" i="3"/>
  <c r="Q13" i="4" s="1"/>
  <c r="Y9" i="3"/>
  <c r="Y32" i="3"/>
  <c r="R13" i="4" s="1"/>
  <c r="V32" i="3"/>
  <c r="O13" i="4" s="1"/>
  <c r="AA32" i="3"/>
  <c r="AA9" i="3"/>
  <c r="AA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AB12" i="3"/>
  <c r="AA11" i="3"/>
  <c r="AA12" i="3"/>
  <c r="AA13" i="3"/>
  <c r="AB13" i="3"/>
  <c r="AA14" i="3"/>
  <c r="AB14" i="3"/>
  <c r="AA15" i="3"/>
  <c r="AB15" i="3"/>
  <c r="AA16" i="3"/>
  <c r="AB16" i="3"/>
  <c r="AA17" i="3"/>
  <c r="AB17" i="3"/>
  <c r="AA18" i="3"/>
  <c r="AB18" i="3"/>
  <c r="AA19" i="3"/>
  <c r="AB19" i="3"/>
  <c r="AA20" i="3"/>
  <c r="AB20" i="3"/>
  <c r="AA21" i="3"/>
  <c r="AB21" i="3"/>
  <c r="AA22" i="3"/>
  <c r="AB22" i="3"/>
  <c r="AA23" i="3"/>
  <c r="AB23" i="3"/>
  <c r="O14" i="4"/>
  <c r="P14" i="4"/>
  <c r="Q14" i="4"/>
  <c r="R14" i="4"/>
  <c r="S14" i="4"/>
  <c r="U14" i="4"/>
  <c r="K18" i="4"/>
  <c r="L18" i="4"/>
  <c r="J18" i="4"/>
  <c r="G18" i="4"/>
  <c r="H18" i="4"/>
  <c r="I18" i="4"/>
  <c r="F18" i="4"/>
  <c r="T13" i="4"/>
  <c r="T14" i="4"/>
  <c r="H19" i="2"/>
  <c r="B27" i="1"/>
  <c r="X24" i="3"/>
  <c r="T11" i="2"/>
  <c r="J11" i="2"/>
  <c r="T10" i="2" s="1"/>
  <c r="T13" i="2" s="1"/>
  <c r="O28" i="2"/>
  <c r="E20" i="2"/>
  <c r="H13" i="2"/>
  <c r="F29" i="2"/>
  <c r="B5" i="4" s="1"/>
  <c r="E2" i="3" l="1"/>
  <c r="B21" i="3"/>
  <c r="X10" i="2"/>
  <c r="X12" i="2" s="1"/>
  <c r="D7" i="3"/>
  <c r="E18" i="4" s="1"/>
  <c r="B21" i="4"/>
  <c r="W24" i="3"/>
  <c r="W29" i="3" s="1"/>
  <c r="W34" i="3" s="1"/>
  <c r="W37" i="3" s="1"/>
  <c r="G24" i="3" s="1"/>
  <c r="V24" i="3"/>
  <c r="V29" i="3" s="1"/>
  <c r="F32" i="3" s="1"/>
  <c r="Y24" i="3"/>
  <c r="Y29" i="3" s="1"/>
  <c r="L32" i="3" s="1"/>
  <c r="G4" i="3"/>
  <c r="C9" i="4"/>
  <c r="S11" i="4"/>
  <c r="AB31" i="3"/>
  <c r="U12" i="4" s="1"/>
  <c r="L1" i="3"/>
  <c r="C2" i="4" s="1"/>
  <c r="Z24" i="3"/>
  <c r="Z29" i="3" s="1"/>
  <c r="B19" i="4"/>
  <c r="AB25" i="3"/>
  <c r="Q29" i="3" s="1"/>
  <c r="U10" i="4" s="1"/>
  <c r="Z31" i="3"/>
  <c r="S12" i="4" s="1"/>
  <c r="G2" i="3"/>
  <c r="B35" i="1"/>
  <c r="K6" i="3"/>
  <c r="I7" i="4" s="1"/>
  <c r="I17" i="4" s="1"/>
  <c r="B8" i="3"/>
  <c r="B32" i="3"/>
  <c r="H18" i="2"/>
  <c r="H5" i="2"/>
  <c r="A6" i="2"/>
  <c r="B26" i="1"/>
  <c r="E9" i="2"/>
  <c r="D24" i="3"/>
  <c r="B7" i="4"/>
  <c r="C10" i="4"/>
  <c r="C28" i="4"/>
  <c r="M6" i="3"/>
  <c r="J7" i="4" s="1"/>
  <c r="J17" i="4" s="1"/>
  <c r="E14" i="2"/>
  <c r="B15" i="1"/>
  <c r="E8" i="3"/>
  <c r="I8" i="3" s="1"/>
  <c r="F28" i="2"/>
  <c r="B4" i="4" s="1"/>
  <c r="B11" i="1"/>
  <c r="B21" i="1"/>
  <c r="B33" i="1"/>
  <c r="B18" i="1"/>
  <c r="H7" i="2"/>
  <c r="B31" i="3"/>
  <c r="I6" i="3"/>
  <c r="H7" i="4" s="1"/>
  <c r="H17" i="4" s="1"/>
  <c r="G4" i="4"/>
  <c r="B10" i="4"/>
  <c r="C23" i="4" s="1"/>
  <c r="B13" i="4"/>
  <c r="B15" i="4"/>
  <c r="C25" i="4"/>
  <c r="E7" i="4"/>
  <c r="E3" i="3"/>
  <c r="B11" i="3"/>
  <c r="H11" i="2"/>
  <c r="B25" i="1"/>
  <c r="B30" i="4"/>
  <c r="E4" i="3"/>
  <c r="G6" i="3"/>
  <c r="G7" i="4" s="1"/>
  <c r="G17" i="4" s="1"/>
  <c r="O6" i="3"/>
  <c r="K7" i="4" s="1"/>
  <c r="K17" i="4" s="1"/>
  <c r="F8" i="3"/>
  <c r="L8" i="3" s="1"/>
  <c r="B17" i="3"/>
  <c r="B30" i="3"/>
  <c r="B1" i="2"/>
  <c r="C1" i="4" s="1"/>
  <c r="H21" i="2"/>
  <c r="I15" i="2"/>
  <c r="C29" i="4" s="1"/>
  <c r="H9" i="2"/>
  <c r="E6" i="2"/>
  <c r="A27" i="2"/>
  <c r="B27" i="3" s="1"/>
  <c r="B2" i="2"/>
  <c r="B13" i="1"/>
  <c r="B19" i="1"/>
  <c r="B23" i="1"/>
  <c r="B28" i="1"/>
  <c r="B37" i="1"/>
  <c r="B22" i="1"/>
  <c r="B12" i="1"/>
  <c r="B6" i="2"/>
  <c r="H16" i="2"/>
  <c r="H4" i="2"/>
  <c r="B19" i="3"/>
  <c r="Q6" i="3"/>
  <c r="L7" i="4" s="1"/>
  <c r="L17" i="4" s="1"/>
  <c r="G3" i="3"/>
  <c r="B2" i="3"/>
  <c r="G2" i="4"/>
  <c r="G5" i="4"/>
  <c r="B8" i="4"/>
  <c r="C22" i="4" s="1"/>
  <c r="C8" i="4"/>
  <c r="B12" i="4"/>
  <c r="C11" i="4"/>
  <c r="B14" i="4"/>
  <c r="B17" i="4"/>
  <c r="C24" i="4"/>
  <c r="C26" i="4"/>
  <c r="D7" i="4"/>
  <c r="B20" i="4"/>
  <c r="B22" i="4"/>
  <c r="C2" i="3"/>
  <c r="E6" i="3"/>
  <c r="F7" i="4" s="1"/>
  <c r="F17" i="4" s="1"/>
  <c r="D8" i="3"/>
  <c r="B29" i="3"/>
  <c r="H17" i="2"/>
  <c r="E7" i="2"/>
  <c r="A4" i="2"/>
  <c r="B10" i="1"/>
  <c r="B20" i="1"/>
  <c r="B30" i="1"/>
  <c r="H29" i="4"/>
  <c r="P8" i="3"/>
  <c r="U11" i="4"/>
  <c r="AB29" i="3"/>
  <c r="K8" i="3"/>
  <c r="X13" i="2"/>
  <c r="X11" i="2"/>
  <c r="X25" i="3"/>
  <c r="I29" i="3" s="1"/>
  <c r="Q10" i="4" s="1"/>
  <c r="X29" i="3"/>
  <c r="Y31" i="3"/>
  <c r="R12" i="4" s="1"/>
  <c r="AA24" i="3"/>
  <c r="AA29" i="3" s="1"/>
  <c r="AA31" i="3"/>
  <c r="T12" i="4" s="1"/>
  <c r="AA25" i="3"/>
  <c r="O29" i="3" s="1"/>
  <c r="T10" i="4" s="1"/>
  <c r="W31" i="3"/>
  <c r="W25" i="3"/>
  <c r="G29" i="3" s="1"/>
  <c r="P10" i="4" s="1"/>
  <c r="P28" i="2"/>
  <c r="V25" i="3" l="1"/>
  <c r="E29" i="3" s="1"/>
  <c r="O10" i="4" s="1"/>
  <c r="H32" i="3"/>
  <c r="P8" i="4"/>
  <c r="G20" i="4" s="1"/>
  <c r="V27" i="3"/>
  <c r="E30" i="3"/>
  <c r="O8" i="4"/>
  <c r="F8" i="4" s="1"/>
  <c r="V34" i="3"/>
  <c r="V37" i="3" s="1"/>
  <c r="E24" i="3" s="1"/>
  <c r="W27" i="3"/>
  <c r="Y25" i="3"/>
  <c r="K29" i="3" s="1"/>
  <c r="R10" i="4" s="1"/>
  <c r="K30" i="3"/>
  <c r="Y34" i="3"/>
  <c r="Y37" i="3" s="1"/>
  <c r="K24" i="3" s="1"/>
  <c r="R8" i="4"/>
  <c r="Y27" i="3"/>
  <c r="O8" i="3"/>
  <c r="M8" i="3"/>
  <c r="Q8" i="3"/>
  <c r="G8" i="3"/>
  <c r="Z27" i="3"/>
  <c r="S8" i="4"/>
  <c r="J22" i="4" s="1"/>
  <c r="M30" i="3"/>
  <c r="N32" i="3"/>
  <c r="Z34" i="3"/>
  <c r="Z37" i="3" s="1"/>
  <c r="M24" i="3" s="1"/>
  <c r="J8" i="3"/>
  <c r="R8" i="3"/>
  <c r="D1" i="3"/>
  <c r="H8" i="3"/>
  <c r="N8" i="3"/>
  <c r="P30" i="2"/>
  <c r="J7" i="2" s="1"/>
  <c r="J28" i="2" s="1"/>
  <c r="P29" i="2"/>
  <c r="J9" i="2" s="1"/>
  <c r="G30" i="3"/>
  <c r="P12" i="4"/>
  <c r="I10" i="4"/>
  <c r="J32" i="3"/>
  <c r="Q8" i="4"/>
  <c r="I30" i="3"/>
  <c r="X34" i="3"/>
  <c r="X37" i="3" s="1"/>
  <c r="I24" i="3" s="1"/>
  <c r="X27" i="3"/>
  <c r="Q30" i="3"/>
  <c r="U8" i="4"/>
  <c r="R32" i="3"/>
  <c r="AB34" i="3"/>
  <c r="AB37" i="3" s="1"/>
  <c r="Q24" i="3" s="1"/>
  <c r="AB27" i="3"/>
  <c r="AA34" i="3"/>
  <c r="AA37" i="3" s="1"/>
  <c r="O24" i="3" s="1"/>
  <c r="P32" i="3"/>
  <c r="O30" i="3"/>
  <c r="AA27" i="3"/>
  <c r="T8" i="4"/>
  <c r="X14" i="2"/>
  <c r="X16" i="2" s="1"/>
  <c r="T16" i="2" s="1"/>
  <c r="T19" i="2" s="1"/>
  <c r="J13" i="2" s="1"/>
  <c r="J17" i="2" s="1"/>
  <c r="J21" i="2" s="1"/>
  <c r="J22" i="2" s="1"/>
  <c r="J24" i="2" s="1"/>
  <c r="J29" i="2" s="1"/>
  <c r="AC29" i="3"/>
  <c r="AD29" i="3"/>
  <c r="B20" i="3" s="1"/>
  <c r="J19" i="4"/>
  <c r="J8" i="4"/>
  <c r="J20" i="4"/>
  <c r="S16" i="4"/>
  <c r="J14" i="4"/>
  <c r="J26" i="4"/>
  <c r="G8" i="4" l="1"/>
  <c r="F20" i="4"/>
  <c r="AC27" i="3"/>
  <c r="B23" i="3" s="1"/>
  <c r="J9" i="4"/>
  <c r="J21" i="4"/>
  <c r="J15" i="4"/>
  <c r="J24" i="4"/>
  <c r="J13" i="4"/>
  <c r="J25" i="4"/>
  <c r="J10" i="4"/>
  <c r="J11" i="4"/>
  <c r="J12" i="4"/>
  <c r="F19" i="4"/>
  <c r="G19" i="4"/>
  <c r="G10" i="4"/>
  <c r="F10" i="4"/>
  <c r="I20" i="4"/>
  <c r="I19" i="4"/>
  <c r="I8" i="4"/>
  <c r="AC30" i="3"/>
  <c r="B14" i="3"/>
  <c r="E4" i="4" s="1"/>
  <c r="K21" i="4"/>
  <c r="K26" i="4"/>
  <c r="K20" i="4"/>
  <c r="K22" i="4"/>
  <c r="K8" i="4"/>
  <c r="K13" i="4"/>
  <c r="K24" i="4"/>
  <c r="K15" i="4"/>
  <c r="K11" i="4"/>
  <c r="K19" i="4"/>
  <c r="T16" i="4"/>
  <c r="K25" i="4"/>
  <c r="K10" i="4"/>
  <c r="K9" i="4"/>
  <c r="K14" i="4"/>
  <c r="K12" i="4"/>
  <c r="L20" i="4"/>
  <c r="L9" i="4"/>
  <c r="L22" i="4"/>
  <c r="L24" i="4"/>
  <c r="L21" i="4"/>
  <c r="L12" i="4"/>
  <c r="L10" i="4"/>
  <c r="L14" i="4"/>
  <c r="L26" i="4"/>
  <c r="L8" i="4"/>
  <c r="L25" i="4"/>
  <c r="L11" i="4"/>
  <c r="L15" i="4"/>
  <c r="U16" i="4"/>
  <c r="L13" i="4"/>
  <c r="L19" i="4"/>
  <c r="L23" i="4"/>
  <c r="H10" i="4"/>
  <c r="H8" i="4"/>
  <c r="H20" i="4"/>
  <c r="H9" i="4" s="1"/>
  <c r="H19" i="4"/>
  <c r="J4" i="4"/>
  <c r="I9" i="4" l="1"/>
  <c r="I11" i="4" s="1"/>
  <c r="I13" i="4" s="1"/>
  <c r="I23" i="4" s="1"/>
  <c r="H11" i="4"/>
  <c r="H13" i="4" s="1"/>
  <c r="H23" i="4" s="1"/>
  <c r="H12" i="4"/>
  <c r="H22" i="4" s="1"/>
  <c r="H14" i="4"/>
  <c r="H24" i="4" s="1"/>
  <c r="H15" i="4"/>
  <c r="H25" i="4" s="1"/>
  <c r="J5" i="4"/>
  <c r="R16" i="4" s="1"/>
  <c r="I21" i="4" s="1"/>
  <c r="F30" i="4"/>
  <c r="G9" i="4"/>
  <c r="F9" i="4"/>
  <c r="I15" i="4" l="1"/>
  <c r="I25" i="4" s="1"/>
  <c r="I12" i="4"/>
  <c r="I22" i="4" s="1"/>
  <c r="I14" i="4"/>
  <c r="I24" i="4" s="1"/>
  <c r="F12" i="4"/>
  <c r="F22" i="4" s="1"/>
  <c r="F11" i="4"/>
  <c r="F13" i="4" s="1"/>
  <c r="F23" i="4" s="1"/>
  <c r="F14" i="4"/>
  <c r="F24" i="4" s="1"/>
  <c r="F15" i="4"/>
  <c r="F25" i="4" s="1"/>
  <c r="O16" i="4"/>
  <c r="F21" i="4" s="1"/>
  <c r="P16" i="4"/>
  <c r="G21" i="4" s="1"/>
  <c r="Q16" i="4"/>
  <c r="H21" i="4" s="1"/>
  <c r="G14" i="4"/>
  <c r="G24" i="4" s="1"/>
  <c r="G15" i="4"/>
  <c r="G25" i="4" s="1"/>
  <c r="G12" i="4"/>
  <c r="G22" i="4" s="1"/>
  <c r="G11" i="4"/>
  <c r="G13" i="4" s="1"/>
  <c r="G23" i="4" s="1"/>
  <c r="H26" i="4"/>
  <c r="F26" i="4" l="1"/>
  <c r="G26" i="4"/>
  <c r="F28" i="4" l="1"/>
  <c r="F29" i="4" s="1"/>
  <c r="K30" i="4" s="1"/>
  <c r="E5" i="4" s="1"/>
</calcChain>
</file>

<file path=xl/sharedStrings.xml><?xml version="1.0" encoding="utf-8"?>
<sst xmlns="http://schemas.openxmlformats.org/spreadsheetml/2006/main" count="686" uniqueCount="626">
  <si>
    <t>ISO 9612</t>
  </si>
  <si>
    <t>LEX,8h</t>
  </si>
  <si>
    <t>Param</t>
  </si>
  <si>
    <t>LpAeq,T</t>
  </si>
  <si>
    <t>Parameters</t>
  </si>
  <si>
    <t>N =</t>
  </si>
  <si>
    <t>Combined standard uncertainty</t>
  </si>
  <si>
    <t>Daily noise exposure level</t>
  </si>
  <si>
    <t>AOEH 12(2) 1997</t>
  </si>
  <si>
    <t>Calculs</t>
  </si>
  <si>
    <t>a</t>
  </si>
  <si>
    <t>F1</t>
  </si>
  <si>
    <t>b</t>
  </si>
  <si>
    <t>F2</t>
  </si>
  <si>
    <t>c</t>
  </si>
  <si>
    <t>F3</t>
  </si>
  <si>
    <t>Sy</t>
  </si>
  <si>
    <t>d</t>
  </si>
  <si>
    <t>F4</t>
  </si>
  <si>
    <t>e</t>
  </si>
  <si>
    <t>F5</t>
  </si>
  <si>
    <t>f</t>
  </si>
  <si>
    <t>g</t>
  </si>
  <si>
    <t>C Land</t>
  </si>
  <si>
    <t>h</t>
  </si>
  <si>
    <t>i</t>
  </si>
  <si>
    <t>CI Land</t>
  </si>
  <si>
    <t>Reference = Hewett</t>
  </si>
  <si>
    <t>ISO 9612 Table D.4</t>
  </si>
  <si>
    <t>Data</t>
  </si>
  <si>
    <t>Uncertainty contribution</t>
  </si>
  <si>
    <t>Confidence interval 95 %</t>
  </si>
  <si>
    <t>as given on Table D.4</t>
  </si>
  <si>
    <t>Nb of measured values</t>
  </si>
  <si>
    <t>Table D.4 = CI / 1,64</t>
  </si>
  <si>
    <t xml:space="preserve">Stand deviation   u1  dB </t>
  </si>
  <si>
    <t>Sources of uncertainty =</t>
  </si>
  <si>
    <t>Label 1</t>
  </si>
  <si>
    <t>Label 2</t>
  </si>
  <si>
    <t>Label 3</t>
  </si>
  <si>
    <t>Label 4</t>
  </si>
  <si>
    <t>Label 5</t>
  </si>
  <si>
    <t>Label 6</t>
  </si>
  <si>
    <t>Label 7</t>
  </si>
  <si>
    <t xml:space="preserve">To enter data : use the yellow cells only </t>
  </si>
  <si>
    <t>Te =</t>
  </si>
  <si>
    <t>1) Noise levels</t>
  </si>
  <si>
    <t>Calculations</t>
  </si>
  <si>
    <t>Results</t>
  </si>
  <si>
    <t>Task 1</t>
  </si>
  <si>
    <t>Task 2</t>
  </si>
  <si>
    <t>Task 4</t>
  </si>
  <si>
    <t>Task 5</t>
  </si>
  <si>
    <t>Task 6</t>
  </si>
  <si>
    <t>Task 7</t>
  </si>
  <si>
    <t>Number of measured values</t>
  </si>
  <si>
    <t xml:space="preserve">Use yellow cells  </t>
  </si>
  <si>
    <t>Measured values</t>
  </si>
  <si>
    <t>dB</t>
  </si>
  <si>
    <t>Noise levels (dB)</t>
  </si>
  <si>
    <t>T1</t>
  </si>
  <si>
    <t>T2</t>
  </si>
  <si>
    <t>T3</t>
  </si>
  <si>
    <t>T4</t>
  </si>
  <si>
    <t>T5</t>
  </si>
  <si>
    <t>T6</t>
  </si>
  <si>
    <t>T7</t>
  </si>
  <si>
    <t>Mean</t>
  </si>
  <si>
    <t xml:space="preserve">          Standard uncertainty u1a</t>
  </si>
  <si>
    <t xml:space="preserve">          Standard uncertainty u1b  </t>
  </si>
  <si>
    <t>Leq Tm dB</t>
  </si>
  <si>
    <t>Mean*Tm/8</t>
  </si>
  <si>
    <t>sum</t>
  </si>
  <si>
    <t>Duration</t>
  </si>
  <si>
    <t>nb</t>
  </si>
  <si>
    <t xml:space="preserve">Number </t>
  </si>
  <si>
    <t>Daily noise level</t>
  </si>
  <si>
    <t>Task 3</t>
  </si>
  <si>
    <t>Uncertainties calculations</t>
  </si>
  <si>
    <t>Tm</t>
  </si>
  <si>
    <t>Noise level</t>
  </si>
  <si>
    <t>Sensitivity coefficient</t>
  </si>
  <si>
    <t>Standard uncertainty</t>
  </si>
  <si>
    <t>Measuring instrumentation</t>
  </si>
  <si>
    <t>Measurement position</t>
  </si>
  <si>
    <t>Uncertainty budget</t>
  </si>
  <si>
    <t>(reference)</t>
  </si>
  <si>
    <t>Symbols, relations</t>
  </si>
  <si>
    <t>Mean Noise level (dB)</t>
  </si>
  <si>
    <t>Task name</t>
  </si>
  <si>
    <t>to enter daily duration, in hours (ex : 7,5 for 7 h 30 min) ; indicate, at least, one value,</t>
  </si>
  <si>
    <t>Use violet cells</t>
  </si>
  <si>
    <t>All  values are calculated from the Task-input-data sheet</t>
  </si>
  <si>
    <t>Valid</t>
  </si>
  <si>
    <t>u1a</t>
  </si>
  <si>
    <t>u1b</t>
  </si>
  <si>
    <t>LpaeqTm</t>
  </si>
  <si>
    <t>u2a</t>
  </si>
  <si>
    <t>u3a</t>
  </si>
  <si>
    <t>Sum per task m</t>
  </si>
  <si>
    <t>Sum for all tasks</t>
  </si>
  <si>
    <t xml:space="preserve">Number of tasks </t>
  </si>
  <si>
    <t xml:space="preserve">Uncertainty contribution of noise levels </t>
  </si>
  <si>
    <t>Uncertainty contribution of tasks durations</t>
  </si>
  <si>
    <t>Uncert. contr. of measuring instrumentation</t>
  </si>
  <si>
    <t>Uncert. contr. of measurement position</t>
  </si>
  <si>
    <t>Effective duration Te of the working day (in hours)</t>
  </si>
  <si>
    <t>Label 8</t>
  </si>
  <si>
    <t>Label 9</t>
  </si>
  <si>
    <t>Label 10</t>
  </si>
  <si>
    <t>Label 11</t>
  </si>
  <si>
    <t>Label 12</t>
  </si>
  <si>
    <t>Label 13</t>
  </si>
  <si>
    <t>Label 14</t>
  </si>
  <si>
    <t>Label 15</t>
  </si>
  <si>
    <t>Label 16</t>
  </si>
  <si>
    <t>Label 17</t>
  </si>
  <si>
    <t>Label 18</t>
  </si>
  <si>
    <t>Label 19</t>
  </si>
  <si>
    <t>Label 20</t>
  </si>
  <si>
    <t>Label 21</t>
  </si>
  <si>
    <t>Label 22</t>
  </si>
  <si>
    <t>Label 23</t>
  </si>
  <si>
    <t>Label 24</t>
  </si>
  <si>
    <t>Label 25</t>
  </si>
  <si>
    <t>ENGLISH</t>
  </si>
  <si>
    <t>FRENCH</t>
  </si>
  <si>
    <t>Pour saisir les données : n'utiliser que les cellules jaunes</t>
  </si>
  <si>
    <t>Valeurs mesurées</t>
  </si>
  <si>
    <t>Nombre de valeurs mesurées</t>
  </si>
  <si>
    <t>Niveaux de bruit (dB)</t>
  </si>
  <si>
    <t>Paramètres</t>
  </si>
  <si>
    <t>Durée totale effective de la journée de travail (en h)</t>
  </si>
  <si>
    <t>(Références ISO)</t>
  </si>
  <si>
    <t>Incertitude-type composée</t>
  </si>
  <si>
    <t>Sources d'incertitude</t>
  </si>
  <si>
    <t>1) Niveaux de bruit</t>
  </si>
  <si>
    <t>GERMAN</t>
  </si>
  <si>
    <t>To (h) =</t>
  </si>
  <si>
    <t xml:space="preserve">Niveau d'exposition quotidienne au bruit </t>
  </si>
  <si>
    <t>Zur Dateneingabe: nur gelbe Felder nutzen!</t>
  </si>
  <si>
    <t>Messwerte</t>
  </si>
  <si>
    <t>Schalldruckpegel (dB)</t>
  </si>
  <si>
    <t>Parameter</t>
  </si>
  <si>
    <t>Berechnungen</t>
  </si>
  <si>
    <t>Kombinierte Standardunsicherheit</t>
  </si>
  <si>
    <t>Unsicherheitsquellen =</t>
  </si>
  <si>
    <t>1) Schalldruckpegel</t>
  </si>
  <si>
    <t>Tages-Lärmexpositionspegel</t>
  </si>
  <si>
    <t>Erweiterte Unsicherheit</t>
  </si>
  <si>
    <t>(Bezug auf ISO )</t>
  </si>
  <si>
    <t>Anzahl der Messwerte</t>
  </si>
  <si>
    <t>Tatsächliche Dauer Te des Arbeitstages ( h )</t>
  </si>
  <si>
    <t>To ( h ) =</t>
  </si>
  <si>
    <t>Label 26</t>
  </si>
  <si>
    <t>Label 27</t>
  </si>
  <si>
    <t>Label 28</t>
  </si>
  <si>
    <t>Label 29</t>
  </si>
  <si>
    <t>Label 30</t>
  </si>
  <si>
    <t>Label 31</t>
  </si>
  <si>
    <t>Measur. Instrum.</t>
  </si>
  <si>
    <t>Results obtained from the input of data</t>
  </si>
  <si>
    <t xml:space="preserve">Duration total ( h ) </t>
  </si>
  <si>
    <t>Sample number</t>
  </si>
  <si>
    <t>Noise Levels (dB)</t>
  </si>
  <si>
    <t>Task duration (h)</t>
  </si>
  <si>
    <t>Label 32</t>
  </si>
  <si>
    <t>Label 33</t>
  </si>
  <si>
    <t>Label 34</t>
  </si>
  <si>
    <t>Label 35</t>
  </si>
  <si>
    <t>Label 36</t>
  </si>
  <si>
    <t>Label 37</t>
  </si>
  <si>
    <t>Label 38</t>
  </si>
  <si>
    <t>Label 39</t>
  </si>
  <si>
    <t>Label 40</t>
  </si>
  <si>
    <t>Label 41</t>
  </si>
  <si>
    <t>Label 42</t>
  </si>
  <si>
    <t>Label 43</t>
  </si>
  <si>
    <t>Label 44</t>
  </si>
  <si>
    <t>Label 45</t>
  </si>
  <si>
    <t>Label 46</t>
  </si>
  <si>
    <t>Label 47</t>
  </si>
  <si>
    <t>Label 48</t>
  </si>
  <si>
    <t>Label 49</t>
  </si>
  <si>
    <t>Label 50</t>
  </si>
  <si>
    <t>Label 51</t>
  </si>
  <si>
    <t>Label 52</t>
  </si>
  <si>
    <t>Label 53</t>
  </si>
  <si>
    <t>Données</t>
  </si>
  <si>
    <t>Cellules jaunes</t>
  </si>
  <si>
    <t>For each task :</t>
  </si>
  <si>
    <t>Pour chaque tâche :</t>
  </si>
  <si>
    <t>Cellules violettes</t>
  </si>
  <si>
    <t>pour saisir la durée quotidienne, en heures (ex : 7,5 pour 7 h 30 min) ; indiquer au moins une valeur</t>
  </si>
  <si>
    <t>Tâche 1</t>
  </si>
  <si>
    <t>Tâche 2</t>
  </si>
  <si>
    <t>Tâche 3</t>
  </si>
  <si>
    <t>Tâche 4</t>
  </si>
  <si>
    <t>Tâche 5</t>
  </si>
  <si>
    <t>Tâche 6</t>
  </si>
  <si>
    <t>Tâche 7</t>
  </si>
  <si>
    <t>Nom de la tâche</t>
  </si>
  <si>
    <t>Instrument de mesure</t>
  </si>
  <si>
    <t>Résultats liés à la saisie des données</t>
  </si>
  <si>
    <t>Nombre</t>
  </si>
  <si>
    <t>Durée totale ( h )</t>
  </si>
  <si>
    <t xml:space="preserve">Echantillon numéro </t>
  </si>
  <si>
    <t>Durée (h)</t>
  </si>
  <si>
    <t>Niveau de bruit (dB)</t>
  </si>
  <si>
    <t xml:space="preserve">     Incertitude type u1b</t>
  </si>
  <si>
    <t xml:space="preserve">     Incertitude type u1a</t>
  </si>
  <si>
    <t>Calculs d'incertitudes</t>
  </si>
  <si>
    <t>Tout est calculé depuis la feuille de saisie des données par tâche</t>
  </si>
  <si>
    <t>Nombre de tâches</t>
  </si>
  <si>
    <t>Bilan des incertitudes</t>
  </si>
  <si>
    <t>Niveau de bruit</t>
  </si>
  <si>
    <t>Durée</t>
  </si>
  <si>
    <t>Incertitude-type</t>
  </si>
  <si>
    <t>Coefficient de sensibilité</t>
  </si>
  <si>
    <t xml:space="preserve">Terme d'incertitude lié aux niveaux de bruit </t>
  </si>
  <si>
    <t>Terme d'incertitude lié aux durées des tâches</t>
  </si>
  <si>
    <t>Terme d'incertit. lié aux instruments de mesure</t>
  </si>
  <si>
    <t>Terme d'incertit. lié à la position du microphone</t>
  </si>
  <si>
    <t>Résultats</t>
  </si>
  <si>
    <t>Niveau de bruit moyen (dB)</t>
  </si>
  <si>
    <t>Contribution à l'incertitude</t>
  </si>
  <si>
    <t>Instruments de mesure</t>
  </si>
  <si>
    <t>Position de mesure</t>
  </si>
  <si>
    <t>Somme par tâche</t>
  </si>
  <si>
    <t>Somme pour toutes les tâches</t>
  </si>
  <si>
    <t>Total daily duration (h)</t>
  </si>
  <si>
    <t>Durée quotidienne totale (h)</t>
  </si>
  <si>
    <t>(références)</t>
  </si>
  <si>
    <t>Symboles, relations</t>
  </si>
  <si>
    <t xml:space="preserve">Gelbe Felder  </t>
  </si>
  <si>
    <t>Dateneing.</t>
  </si>
  <si>
    <t>Grüne Felder</t>
  </si>
  <si>
    <t>Violette Felder</t>
  </si>
  <si>
    <t>zur Eingabe der Dauer in h (z.B.: 7,5 für 7 h 30 min) ; Eingabe zumindest eines Wertes</t>
  </si>
  <si>
    <t>Stichproben
nummer</t>
  </si>
  <si>
    <t>Tages-Lärmpegel</t>
  </si>
  <si>
    <t xml:space="preserve">Anzahl </t>
  </si>
  <si>
    <t xml:space="preserve">          Standardunsicherheit u1a</t>
  </si>
  <si>
    <t xml:space="preserve">          Standardunsicherheit u1b  </t>
  </si>
  <si>
    <t>Berechnung der Unsicherheiten</t>
  </si>
  <si>
    <t>Alle Ergebnisse werden aus dem Daten-Eingabeblatt berechnet</t>
  </si>
  <si>
    <t>Unsicherheitsbilanz</t>
  </si>
  <si>
    <t>Schallpegel</t>
  </si>
  <si>
    <t>Dauer</t>
  </si>
  <si>
    <t>Standardunsicherheit</t>
  </si>
  <si>
    <t>(Bezug)</t>
  </si>
  <si>
    <t>Empfindlichkeitskoeffizient</t>
  </si>
  <si>
    <t>Unsicherkeitsbeitrag b. Erfass. d. Schallpegels</t>
  </si>
  <si>
    <t>Unsicherheitsbeitrag aufgr. d. Messgeräte</t>
  </si>
  <si>
    <t>Unsicherheitsbeitrag aufgr. d. Mikrofonposition</t>
  </si>
  <si>
    <t>Symbole</t>
  </si>
  <si>
    <t>Ergebnisse</t>
  </si>
  <si>
    <t>Mittlerer Pegel (dB)</t>
  </si>
  <si>
    <t>Messgeräte</t>
  </si>
  <si>
    <t>Mikrofonposition</t>
  </si>
  <si>
    <t>Mess- geräte</t>
  </si>
  <si>
    <t>Gesamtarbeitszeit (h)</t>
  </si>
  <si>
    <t>Schall- pegel (dB)</t>
  </si>
  <si>
    <t>Dauer (h)</t>
  </si>
  <si>
    <t>Ergebnisse aus den eingegebenen Daten</t>
  </si>
  <si>
    <t xml:space="preserve">Unsicher- heitsbeitrag </t>
  </si>
  <si>
    <t xml:space="preserve">Gesamtdauer   (h)  </t>
  </si>
  <si>
    <r>
      <t>L</t>
    </r>
    <r>
      <rPr>
        <vertAlign val="subscript"/>
        <sz val="12"/>
        <rFont val="Arial"/>
        <family val="2"/>
      </rPr>
      <t>EX,8h =</t>
    </r>
  </si>
  <si>
    <r>
      <t>(c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*u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</si>
  <si>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(u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</si>
  <si>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(u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</si>
  <si>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u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</si>
  <si>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c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*u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</si>
  <si>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u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(L</t>
    </r>
    <r>
      <rPr>
        <vertAlign val="subscript"/>
        <sz val="10"/>
        <rFont val="Arial"/>
        <family val="2"/>
      </rPr>
      <t>EX,8h</t>
    </r>
    <r>
      <rPr>
        <sz val="10"/>
        <rFont val="Arial"/>
        <family val="2"/>
      </rPr>
      <t>) =</t>
    </r>
  </si>
  <si>
    <r>
      <t>u(L</t>
    </r>
    <r>
      <rPr>
        <vertAlign val="subscript"/>
        <sz val="10"/>
        <rFont val="Arial"/>
        <family val="2"/>
      </rPr>
      <t>EX,8h</t>
    </r>
    <r>
      <rPr>
        <sz val="10"/>
        <rFont val="Arial"/>
        <family val="2"/>
      </rPr>
      <t>) =</t>
    </r>
  </si>
  <si>
    <r>
      <t>u</t>
    </r>
    <r>
      <rPr>
        <b/>
        <vertAlign val="subscript"/>
        <sz val="12"/>
        <rFont val="Arial"/>
        <family val="2"/>
      </rPr>
      <t xml:space="preserve">2 </t>
    </r>
    <r>
      <rPr>
        <b/>
        <sz val="12"/>
        <rFont val="Arial"/>
        <family val="2"/>
      </rPr>
      <t>=</t>
    </r>
  </si>
  <si>
    <r>
      <t>u</t>
    </r>
    <r>
      <rPr>
        <b/>
        <vertAlign val="subscript"/>
        <sz val="12"/>
        <rFont val="Arial"/>
        <family val="2"/>
      </rPr>
      <t xml:space="preserve">3 </t>
    </r>
    <r>
      <rPr>
        <b/>
        <sz val="12"/>
        <rFont val="Arial"/>
        <family val="2"/>
      </rPr>
      <t>=</t>
    </r>
  </si>
  <si>
    <r>
      <t>u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(</t>
    </r>
    <r>
      <rPr>
        <sz val="10"/>
        <rFont val="Arial"/>
        <family val="2"/>
      </rPr>
      <t>L</t>
    </r>
    <r>
      <rPr>
        <vertAlign val="subscript"/>
        <sz val="10"/>
        <rFont val="Arial"/>
        <family val="2"/>
      </rPr>
      <t>EX,8h</t>
    </r>
    <r>
      <rPr>
        <sz val="9"/>
        <rFont val="Arial"/>
        <family val="2"/>
      </rPr>
      <t>) =</t>
    </r>
  </si>
  <si>
    <r>
      <t>u(</t>
    </r>
    <r>
      <rPr>
        <sz val="10"/>
        <rFont val="Arial"/>
        <family val="2"/>
      </rPr>
      <t>L</t>
    </r>
    <r>
      <rPr>
        <vertAlign val="subscript"/>
        <sz val="10"/>
        <rFont val="Arial"/>
        <family val="2"/>
      </rPr>
      <t>EX,8h</t>
    </r>
    <r>
      <rPr>
        <sz val="9"/>
        <rFont val="Arial"/>
        <family val="2"/>
      </rPr>
      <t>)</t>
    </r>
  </si>
  <si>
    <r>
      <t>L</t>
    </r>
    <r>
      <rPr>
        <b/>
        <vertAlign val="subscript"/>
        <sz val="12"/>
        <rFont val="Arial"/>
        <family val="2"/>
      </rPr>
      <t>EX,8h</t>
    </r>
    <r>
      <rPr>
        <b/>
        <sz val="10"/>
        <rFont val="Arial"/>
        <family val="2"/>
      </rPr>
      <t xml:space="preserve"> =</t>
    </r>
  </si>
  <si>
    <t xml:space="preserve"> dB</t>
  </si>
  <si>
    <r>
      <t>u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</t>
    </r>
    <r>
      <rPr>
        <sz val="10"/>
        <rFont val="Arial"/>
        <family val="2"/>
      </rPr>
      <t>L</t>
    </r>
    <r>
      <rPr>
        <vertAlign val="subscript"/>
        <sz val="10"/>
        <rFont val="Arial"/>
        <family val="2"/>
      </rPr>
      <t>EX,8h</t>
    </r>
    <r>
      <rPr>
        <sz val="8"/>
        <rFont val="Arial"/>
        <family val="2"/>
      </rPr>
      <t xml:space="preserve">) m </t>
    </r>
  </si>
  <si>
    <t>Label 54</t>
  </si>
  <si>
    <t>Lex,8h,m</t>
  </si>
  <si>
    <t>Contribution of task m to Lex,8h</t>
  </si>
  <si>
    <t>Contribution de la tâche m à Lex,8h</t>
  </si>
  <si>
    <t xml:space="preserve">Niveau de bruit </t>
  </si>
  <si>
    <t>English</t>
  </si>
  <si>
    <t xml:space="preserve">task-based measurement, job-based measurement, full-day measurement. </t>
  </si>
  <si>
    <t xml:space="preserve">For job-based measurement or full-day measurement, click on the tab “Job or full day” to select the appropriate calculator. </t>
  </si>
  <si>
    <t>To enter the data, use the yellow cells only.</t>
  </si>
  <si>
    <t>Pour saisir les données, n'utiliser que les cellules coloriées en jaune.</t>
  </si>
  <si>
    <t>Les résultats sont issus des données de la feuille "Saisie des données par tâche". Les résultats principaux sont le Lex,8h et son incertitude élargie.</t>
  </si>
  <si>
    <t>Ces informations sont utiles si le nombre de mesure doit être augmenté afin de réduire l'incertitude.</t>
  </si>
  <si>
    <t>Introduction</t>
  </si>
  <si>
    <t>Français</t>
  </si>
  <si>
    <t xml:space="preserve">Einführung </t>
  </si>
  <si>
    <t>Deutsch</t>
  </si>
  <si>
    <t xml:space="preserve">Introduction  </t>
  </si>
  <si>
    <t>Pour utiliser le français, dans la cellule verte, tapez "French"</t>
  </si>
  <si>
    <t>Label 101</t>
  </si>
  <si>
    <t>Label 102</t>
  </si>
  <si>
    <t>Label 103</t>
  </si>
  <si>
    <t>Label 104</t>
  </si>
  <si>
    <t>Label 105</t>
  </si>
  <si>
    <t>Label 106</t>
  </si>
  <si>
    <t>Label 107</t>
  </si>
  <si>
    <t>Label 108</t>
  </si>
  <si>
    <t>Label 109</t>
  </si>
  <si>
    <t>Label 110</t>
  </si>
  <si>
    <t>Label 111</t>
  </si>
  <si>
    <t>Label 112</t>
  </si>
  <si>
    <t>Label 113</t>
  </si>
  <si>
    <t>Label 114</t>
  </si>
  <si>
    <t>Label 115</t>
  </si>
  <si>
    <t>Label 116</t>
  </si>
  <si>
    <t>Label 117</t>
  </si>
  <si>
    <t>Ce tableur permet d'effectuer les calculs requis par la norme pour ces trois méthodes.</t>
  </si>
  <si>
    <t xml:space="preserve">H </t>
  </si>
  <si>
    <t>M</t>
  </si>
  <si>
    <t>S</t>
  </si>
  <si>
    <t xml:space="preserve"> </t>
  </si>
  <si>
    <t>Label 118</t>
  </si>
  <si>
    <t>Label 119</t>
  </si>
  <si>
    <t>Label 120</t>
  </si>
  <si>
    <t>Daily total duration (in hours, minutes, seconds) :</t>
  </si>
  <si>
    <t>Durée quotidienne totale (heures, minutes, secondes) :</t>
  </si>
  <si>
    <t>Nombre d'heure à saisir (valeur décimale) :</t>
  </si>
  <si>
    <t xml:space="preserve">This spreadsheet performs automatically the calculations required by these three methods.  </t>
  </si>
  <si>
    <t xml:space="preserve">All task results are automatically calculated from the input data sheet. The main results are the daily noise exposure level and its expanded uncertainty. </t>
  </si>
  <si>
    <t>This information can be useful if the number of measurements should be increased to reduce the uncertainty.</t>
  </si>
  <si>
    <t xml:space="preserve">Note: Durations must be indicated with decimal values. If needed, use the following calculator </t>
  </si>
  <si>
    <t>Number of hours to enter (decimal value) :</t>
  </si>
  <si>
    <t xml:space="preserve">Note : Il faut indiquer les durées en valeurs décimales. Si besoin, utiliser le calculateur suivant </t>
  </si>
  <si>
    <t>Les autres résultats indiquent quelle tâche contribue le plus au Lex,8h ainsi que le facteur qui contribue le plus à l'incertitude.</t>
  </si>
  <si>
    <t>test u2 =0,7</t>
  </si>
  <si>
    <t>test u2 =1,5</t>
  </si>
  <si>
    <t>bilan test u2</t>
  </si>
  <si>
    <t>test u2 ? =""</t>
  </si>
  <si>
    <r>
      <t>u</t>
    </r>
    <r>
      <rPr>
        <vertAlign val="subscript"/>
        <sz val="10"/>
        <rFont val="Arial"/>
        <family val="2"/>
      </rPr>
      <t>1a,m</t>
    </r>
  </si>
  <si>
    <r>
      <t>c</t>
    </r>
    <r>
      <rPr>
        <vertAlign val="subscript"/>
        <sz val="10"/>
        <rFont val="Arial"/>
        <family val="2"/>
      </rPr>
      <t>1a,m</t>
    </r>
  </si>
  <si>
    <r>
      <t>u</t>
    </r>
    <r>
      <rPr>
        <vertAlign val="subscript"/>
        <sz val="10"/>
        <rFont val="Arial"/>
        <family val="2"/>
      </rPr>
      <t>1b,m</t>
    </r>
  </si>
  <si>
    <r>
      <t>c</t>
    </r>
    <r>
      <rPr>
        <vertAlign val="subscript"/>
        <sz val="10"/>
        <rFont val="Arial"/>
        <family val="2"/>
      </rPr>
      <t xml:space="preserve">1a,m * 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1a,m</t>
    </r>
  </si>
  <si>
    <r>
      <t>c</t>
    </r>
    <r>
      <rPr>
        <vertAlign val="subscript"/>
        <sz val="10"/>
        <rFont val="Arial"/>
        <family val="2"/>
      </rPr>
      <t xml:space="preserve">1b,m * 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1b,m</t>
    </r>
  </si>
  <si>
    <r>
      <t>(c</t>
    </r>
    <r>
      <rPr>
        <vertAlign val="subscript"/>
        <sz val="10"/>
        <rFont val="Arial"/>
        <family val="2"/>
      </rPr>
      <t xml:space="preserve">1a,m * 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1a,m</t>
    </r>
    <r>
      <rPr>
        <sz val="10"/>
        <rFont val="Arial"/>
        <family val="2"/>
      </rPr>
      <t>)²</t>
    </r>
  </si>
  <si>
    <r>
      <t>(c</t>
    </r>
    <r>
      <rPr>
        <vertAlign val="subscript"/>
        <sz val="10"/>
        <rFont val="Arial"/>
        <family val="2"/>
      </rPr>
      <t xml:space="preserve">1b,m * 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1b,m</t>
    </r>
    <r>
      <rPr>
        <sz val="10"/>
        <rFont val="Arial"/>
        <family val="2"/>
      </rPr>
      <t>)²</t>
    </r>
  </si>
  <si>
    <t xml:space="preserve">Enter the duration of task m in the next column (blue): one value is sufficient. </t>
  </si>
  <si>
    <t>Je Tätigkeit:</t>
  </si>
  <si>
    <t>Tätigkeit 1</t>
  </si>
  <si>
    <t>Tätigkeit 2</t>
  </si>
  <si>
    <t>Tätigkeit 3</t>
  </si>
  <si>
    <t>Tätigkeit 4</t>
  </si>
  <si>
    <t>Tätigkeit 5</t>
  </si>
  <si>
    <t>Tätigkeit 6</t>
  </si>
  <si>
    <t>Tätigkeit 7</t>
  </si>
  <si>
    <t>Tätigkeit</t>
  </si>
  <si>
    <t>Anzahl der Tätigkeiten</t>
  </si>
  <si>
    <t>Unsicherkeitsbeitrag b. Erf. d. Tätigkeitsdauer</t>
  </si>
  <si>
    <t>Gesamtbeitrag der Tätigkeit m</t>
  </si>
  <si>
    <t>Gesamtbeitrag aller Tätigkeiten</t>
  </si>
  <si>
    <t xml:space="preserve">Beitrag der Tätigkeit m zum Tages-Lärmpegel </t>
  </si>
  <si>
    <t>tätigkeitsbezogene Messung, berufsbildbezogene Messung, Ganztags-Messung.</t>
  </si>
  <si>
    <t>Dieses Kalkulationsprogramm führt automatisch die nach diesen drei Methoden erforderlichen Berechnungen durch.</t>
  </si>
  <si>
    <t xml:space="preserve">Die Dauer der Tätigkeit m ist in die nächste Spalte (grün) einzugeben. Ein Wert ist ausreichend,  </t>
  </si>
  <si>
    <t>aber es können auch J Werte für die Tätigkeitsdauer Tm(j) eingegeben werden, falls verfügbar. Dies ist erforderlich, falls die Unsicherheit für die Tätigkeitsdauer in die Rechnung eingeschlossen werden soll.</t>
  </si>
  <si>
    <t>Alle Ergebnisse werden automatisch aus den Eingabedaten berechnet. Die wesentlichen Ergebnisse sind der Tages-Lärmexpositionspegel und die erweiterte Unsicherheit.</t>
  </si>
  <si>
    <t>Die anderen Ergebnisse lassen erkennen, welche Tätigkeit den größten Beitrag zum Lex,8h liefert und welcher Faktor am meisten zur Unsicherheit beiträgt.</t>
  </si>
  <si>
    <t>Diese Informationen können nützlich sein, um zu entscheiden, ob die  Anzahl der Messungen erhöht werden sollte, um die Unsicherheit zu reduzieren.</t>
  </si>
  <si>
    <t>Anmerkung : Die Zeitdauern müssen als Dezimalwerte eingegeben werden. Falls erforderlich, kann der folgende Rechner dazu benutzt werden.</t>
  </si>
  <si>
    <t>Zeitdauer (in Stunden, Minuten, Sekunden) :</t>
  </si>
  <si>
    <t>Einzugebender Stundenwert (Dezimalwert) :</t>
  </si>
  <si>
    <t>Cellules vertes</t>
  </si>
  <si>
    <t>Use green cells</t>
  </si>
  <si>
    <t>Zur Dateneingabe sind nur die gelben Felder zu benutzen.</t>
  </si>
  <si>
    <t>Die Ergebnisse sind in der zweiten Tabelle  "Task-results" (tätigkeitsbezogene Ergebnisse) zu finden. Diese Tabelle enthält keine farbigen Felder, weil hier nur berechnete Werte zusammengestellt sind.</t>
  </si>
  <si>
    <t>Für die tätigkeitsbezogene Messungen sind zwei Tabellenblätter verfügbar:"Task-input data" (tätigkeitsbezogene Dateneingabe), "Task-results" (tätigkeitsbezogene Ergebnisse)</t>
  </si>
  <si>
    <t>Bei berufsbildbezogenen Messungen oder Ganztags-Messungen ist das Tabellenblatt "Job or full day" (berufsbildbezogen oder Ganztags) anzuklicken.</t>
  </si>
  <si>
    <t xml:space="preserve">“Task-results”: click on the second tab. A new sheet appears with no coloured cell because it contains only calculated values. </t>
  </si>
  <si>
    <t>Cliquer sur le second onglet "Task-results" (Résultats par tâche). Sur la feuille qui apparaît, aucune cellule n'est colorée car elle ne contient que des valeurs calculées.</t>
  </si>
  <si>
    <t>Um die deutsche Sprache auszuwählen, ist in das grüne Feld "German" einzugeben</t>
  </si>
  <si>
    <t xml:space="preserve">ISO 9612:2009 “Measurement and calculation  of occupational noise exposure – Engineering method” offers three measurement strategies: </t>
  </si>
  <si>
    <t>La norme ISO 9612:2009 "Détermination de l'exposition au bruit en milieu de travail- Méthode d'expertise" propose trois stratégies de mesure :</t>
  </si>
  <si>
    <t xml:space="preserve">Die Norm ISO 9612 :2009 "Bestimmung der Lärmexposition am Arbeitsplatz - Ingenieurverfahren" bietet drei Messstrategien an : </t>
  </si>
  <si>
    <t xml:space="preserve">This spreadsheet is protected. However, the use of this spreadsheet can in no case prove that the results are in conformity with ISO 9612 :2009. </t>
  </si>
  <si>
    <t>Ce tableur est protégé. Toutefois, le fait d’avoir utilisé ce tableur ne peut en aucun cas constituer une preuve que les résultats sont conformes à l’ISO 9612 :2009.</t>
  </si>
  <si>
    <t>Diese Kalkulationstabelle ist geschützt. Die Verwendung dieser Kalkulationstabelle kann keinesfalls als Nachweis gelten, dass die Ergebnisse mit der ISO Norm 9612 :2009 konform sind.</t>
  </si>
  <si>
    <t>2) Instrumentation Q2</t>
  </si>
  <si>
    <t>2) Messgeräte Q2</t>
  </si>
  <si>
    <t>3) Microphone position  Q3</t>
  </si>
  <si>
    <t>3) Position du microphone Q3</t>
  </si>
  <si>
    <t>3) Mikrofonposition  Q3</t>
  </si>
  <si>
    <t>Evaluation of measurement uncertainties (Annex C)</t>
  </si>
  <si>
    <t>Evaluation des incertitudes de mesure (Annexe C)</t>
  </si>
  <si>
    <t>Ermittlung von Messunsicherheiten (Anhang C)</t>
  </si>
  <si>
    <t>Standard uncertainty of measuring instrumentation (Table C.5)</t>
  </si>
  <si>
    <t>Incertitude type due aux instruments de mesure (Tableau C.5)</t>
  </si>
  <si>
    <t>Standardunsicherheit aufgrund der Messgeräte (Tabelle C.5)</t>
  </si>
  <si>
    <t>(Eq. C.8)</t>
  </si>
  <si>
    <t>(Gl. C.8)</t>
  </si>
  <si>
    <t>(Eq. C.12)</t>
  </si>
  <si>
    <t>(Gl. C.12)</t>
  </si>
  <si>
    <t>(Table C.4 for N and u1)</t>
  </si>
  <si>
    <t>(Tableau C.4 pour N et u1)</t>
  </si>
  <si>
    <t>(Tabelle C.4 für N und u1)</t>
  </si>
  <si>
    <t>Sum (C.9)</t>
  </si>
  <si>
    <t>Somme (C.9)</t>
  </si>
  <si>
    <t>Summe (C.9)</t>
  </si>
  <si>
    <t>Se référer à la norme ISO 9612 :2009 pour des précisions sur les notations, les équations et les calculs. Seules les notations ISO 9612 :2009 sont utilisées ici.</t>
  </si>
  <si>
    <t>Um die Informationen bezüglich der benutzten Bezeichnungen, Gleichungen und Berechnungen zu erhalten, siehe ISO 9612:2009. Dieses Kalkulationsprogramm benutzt nur die entsprechenden Bezeichnungen der ISO 9612:2009.</t>
  </si>
  <si>
    <t>(Eq. 11)</t>
  </si>
  <si>
    <t>(Gl. 11)</t>
  </si>
  <si>
    <t>(C.4)</t>
  </si>
  <si>
    <t>(C.7)</t>
  </si>
  <si>
    <t>(C.5)</t>
  </si>
  <si>
    <t>(C.6)</t>
  </si>
  <si>
    <t>( 9.3 : (7) )</t>
  </si>
  <si>
    <t>( 9.2 : (5) )</t>
  </si>
  <si>
    <t>(9.4 : (8) )</t>
  </si>
  <si>
    <t>(C.3)</t>
  </si>
  <si>
    <t>(C.2)</t>
  </si>
  <si>
    <t>to enter u2, uncertainty due to measuring instrumentation (see Annex C, Table C.5 : u2 = 0,7 or 1,5 dB)</t>
  </si>
  <si>
    <t>Pour saisir u2, incertitude due à l'instrumentation de mesure (voir Annexe C, Tableau C.5 : u2 = 0,7 ou 1,5 dB)</t>
  </si>
  <si>
    <t>zur Eingabe der Unsicherheit u2 aufgrund der Messgeräte(s. Anhang C, Tabelle C.5 : u2 = 0,7 oder 1,5 dB)</t>
  </si>
  <si>
    <t xml:space="preserve">J values of the task duration Tm(j) can be entered if available; this is required if uncertainty in task duration shall be included. </t>
  </si>
  <si>
    <t>(ISO references)</t>
  </si>
  <si>
    <t xml:space="preserve">Standard uncertainty due to imperfect selection of measurement position </t>
  </si>
  <si>
    <t xml:space="preserve">Incertitude type due au choix des positions de mesure </t>
  </si>
  <si>
    <t xml:space="preserve">Standardunsicherheit aufgrund der nicht idealen Mikrofonposition </t>
  </si>
  <si>
    <t>Expanded uncertainty</t>
  </si>
  <si>
    <t>Incertitude élargie</t>
  </si>
  <si>
    <t xml:space="preserve">Tasks defined </t>
  </si>
  <si>
    <t xml:space="preserve">Tâches définies </t>
  </si>
  <si>
    <t xml:space="preserve">Tätigkeiten </t>
  </si>
  <si>
    <t xml:space="preserve">Tm   :  Duration of task m (h) </t>
  </si>
  <si>
    <t>Tm : Durée de la tâche m (h)</t>
  </si>
  <si>
    <t xml:space="preserve">Tm   :  Dauer der Tätigkeit m (h) </t>
  </si>
  <si>
    <t xml:space="preserve">Tätigkeitsbezogene Messung </t>
  </si>
  <si>
    <t>Mesurage basé sur la fonction ou sur une journée entière</t>
  </si>
  <si>
    <t>Mesurage par tâches</t>
  </si>
  <si>
    <t>Pour le mesurage par tâches, deux onglets sont disponibles :"Task-input data" (saisie des données par tâche) ou "Task-results" (résultats par tâche)</t>
  </si>
  <si>
    <t xml:space="preserve">For task-based measurement, two tabs are available: ”Task-input data”, “Task-results”. </t>
  </si>
  <si>
    <t xml:space="preserve">Task-based measurement </t>
  </si>
  <si>
    <t>Pour utiliser le mesurage par fonction ou par journées complètes, cliquer sur l'onglet "Job or full day" (métier ou journées complètes)</t>
  </si>
  <si>
    <t xml:space="preserve">J valeurs de la durée Tm(j) de la tâche peuvent être aussi entrées ; ceci est nécessaire pour inclure une incertitude sur la durée de la tâche. </t>
  </si>
  <si>
    <t xml:space="preserve">La durée de la tâche m doit être indiquée dans la colonne suivante (bleue): une valeur suffit. </t>
  </si>
  <si>
    <t>Job-based measurement and full day measurement</t>
  </si>
  <si>
    <t>Tätigkeitsbezogene Messung und Ganztags-Messung</t>
  </si>
  <si>
    <r>
      <t>c</t>
    </r>
    <r>
      <rPr>
        <vertAlign val="subscript"/>
        <sz val="10"/>
        <rFont val="Arial"/>
        <family val="2"/>
      </rPr>
      <t xml:space="preserve">1a,m * 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2,m</t>
    </r>
  </si>
  <si>
    <r>
      <t>c</t>
    </r>
    <r>
      <rPr>
        <vertAlign val="subscript"/>
        <sz val="10"/>
        <rFont val="Arial"/>
        <family val="2"/>
      </rPr>
      <t xml:space="preserve">1a,m * 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3</t>
    </r>
  </si>
  <si>
    <r>
      <t>(c</t>
    </r>
    <r>
      <rPr>
        <vertAlign val="subscript"/>
        <sz val="10"/>
        <rFont val="Arial"/>
        <family val="2"/>
      </rPr>
      <t xml:space="preserve">1a,m * 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2,m</t>
    </r>
    <r>
      <rPr>
        <sz val="10"/>
        <rFont val="Arial"/>
        <family val="2"/>
      </rPr>
      <t>)²</t>
    </r>
  </si>
  <si>
    <r>
      <t>(c</t>
    </r>
    <r>
      <rPr>
        <vertAlign val="subscript"/>
        <sz val="10"/>
        <rFont val="Arial"/>
        <family val="2"/>
      </rPr>
      <t xml:space="preserve">1a,m * </t>
    </r>
    <r>
      <rPr>
        <sz val="10"/>
        <rFont val="Arial"/>
        <family val="2"/>
      </rPr>
      <t>u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)²</t>
    </r>
  </si>
  <si>
    <r>
      <t>L</t>
    </r>
    <r>
      <rPr>
        <vertAlign val="subscript"/>
        <sz val="10"/>
        <rFont val="Arial"/>
        <family val="2"/>
      </rPr>
      <t>EX,8h,m</t>
    </r>
    <r>
      <rPr>
        <sz val="8"/>
        <rFont val="Arial"/>
        <family val="2"/>
      </rPr>
      <t xml:space="preserve"> </t>
    </r>
  </si>
  <si>
    <r>
      <t>c</t>
    </r>
    <r>
      <rPr>
        <vertAlign val="subscript"/>
        <sz val="10"/>
        <rFont val="Arial"/>
        <family val="2"/>
      </rPr>
      <t>1b,m</t>
    </r>
  </si>
  <si>
    <r>
      <t>L</t>
    </r>
    <r>
      <rPr>
        <vertAlign val="subscript"/>
        <sz val="10"/>
        <rFont val="Arial"/>
        <family val="2"/>
      </rPr>
      <t>p,A,eqTe</t>
    </r>
    <r>
      <rPr>
        <sz val="10"/>
        <rFont val="Arial"/>
        <family val="2"/>
      </rPr>
      <t xml:space="preserve"> =</t>
    </r>
  </si>
  <si>
    <r>
      <t>L</t>
    </r>
    <r>
      <rPr>
        <vertAlign val="subscript"/>
        <sz val="10"/>
        <rFont val="Arial"/>
        <family val="2"/>
      </rPr>
      <t>p,A,eqT,20</t>
    </r>
  </si>
  <si>
    <r>
      <t>L</t>
    </r>
    <r>
      <rPr>
        <vertAlign val="subscript"/>
        <sz val="10"/>
        <rFont val="Arial"/>
        <family val="2"/>
      </rPr>
      <t>p,A,eqT,19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</si>
  <si>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</si>
  <si>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p,A,eqT,2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</si>
  <si>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p,A,eqT,3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</si>
  <si>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p,A,eqT,4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</si>
  <si>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p,A,eqT,5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</si>
  <si>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p,A,eqT,6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</si>
  <si>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p,A,eqT,7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</si>
  <si>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p,A,eqT,8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</si>
  <si>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p,A,eqT,9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</si>
  <si>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p,A,eqT,10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</si>
  <si>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p,A,eqT,11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</si>
  <si>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p,A,eqT,12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</si>
  <si>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p,A,eqT,13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</si>
  <si>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p,A,eqT,14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</si>
  <si>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p,A,eqT,15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</si>
  <si>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p,A,eqT,16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</si>
  <si>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p,A,eqT,17</t>
    </r>
    <r>
      <rPr>
        <sz val="10"/>
        <rFont val="Arial"/>
      </rPr>
      <t/>
    </r>
  </si>
  <si>
    <r>
      <t>L</t>
    </r>
    <r>
      <rPr>
        <vertAlign val="subscript"/>
        <sz val="10"/>
        <rFont val="Arial"/>
        <family val="2"/>
      </rPr>
      <t>p,A,eqT,18</t>
    </r>
    <r>
      <rPr>
        <sz val="10"/>
        <rFont val="Arial"/>
      </rPr>
      <t/>
    </r>
  </si>
  <si>
    <r>
      <t>L</t>
    </r>
    <r>
      <rPr>
        <vertAlign val="subscript"/>
        <sz val="12"/>
        <rFont val="Arial"/>
        <family val="2"/>
      </rPr>
      <t>EX,8h</t>
    </r>
    <r>
      <rPr>
        <sz val="10"/>
        <rFont val="Arial"/>
        <family val="2"/>
      </rPr>
      <t xml:space="preserve"> =</t>
    </r>
  </si>
  <si>
    <t xml:space="preserve">calculated values (mean value Lp,A,eqT,m and its standard uncertainty) are shown at the bottom of this column. </t>
  </si>
  <si>
    <t>Les valeurs calculées (moyenne Lp,A,eqT,m et son incertitude type) apparaissent en bas de la colonne.</t>
  </si>
  <si>
    <t>Die berechneten Werte (Mittelwert Lp,A,eqT,m und seine Standardunsicherheit) werden unten in der Spalte angezeigt.</t>
  </si>
  <si>
    <r>
      <t>Click on the tab "Task-input data". For a given task m, enter I measured values Lp,A,eqT,mi in the mth column (yellow)</t>
    </r>
    <r>
      <rPr>
        <sz val="12"/>
        <rFont val="Times New Roman"/>
        <family val="1"/>
      </rPr>
      <t xml:space="preserve">; </t>
    </r>
  </si>
  <si>
    <t xml:space="preserve">Pour une tâche m, les I valeurs de bruit mesurées Lp,A,eqT,mi doivent être saisies dans la colonne m (jaune). </t>
  </si>
  <si>
    <t>Für jede Tätigkeit m sind I Messwerte Lp,A,eqT,mi  in die entsprechende Spalte m (gelb) einzugegeben.</t>
  </si>
  <si>
    <t xml:space="preserve">to enter the measured values Lp,A,eqT,mi and (if needed) a task name </t>
  </si>
  <si>
    <t>Pour saisir les valeurs mesurées Lp,A,eqT,mi et (éventuellement) le nom de la tâche</t>
  </si>
  <si>
    <t>zur Eingabe der gemessenen Werte Lp,A,eqT,mi und ggf. einer  Bezeichnung der Tätigkeit</t>
  </si>
  <si>
    <t xml:space="preserve">Lp,A,eqT,m :  Energy average </t>
  </si>
  <si>
    <t xml:space="preserve">Lp,A,eqT,m : niveau moyen  </t>
  </si>
  <si>
    <t>Lp,A,eqT,m :  Energ. Mittelwert</t>
  </si>
  <si>
    <r>
      <t>L</t>
    </r>
    <r>
      <rPr>
        <b/>
        <vertAlign val="subscript"/>
        <sz val="12"/>
        <rFont val="Arial"/>
        <family val="2"/>
      </rPr>
      <t>p,A,eqT,m</t>
    </r>
    <r>
      <rPr>
        <b/>
        <sz val="10"/>
        <rFont val="Arial"/>
        <family val="2"/>
      </rPr>
      <t xml:space="preserve"> </t>
    </r>
  </si>
  <si>
    <t>mesurage basé sur les tâches, mesurage basé sur la fonction, mesurage basé sur des journées entières.</t>
  </si>
  <si>
    <t xml:space="preserve">The other results can be used to know which task gives the main contribution to Lex,8h and which factor induces the largest uncertainty. </t>
  </si>
  <si>
    <t>Duration (h)</t>
  </si>
  <si>
    <t>Durée  (h)</t>
  </si>
  <si>
    <t xml:space="preserve">Warning: Tm is the duration of the task m; not to be confused with the measurement duration of a Lp,A,eqT,mi value.  </t>
  </si>
  <si>
    <t>Attention : Tm est la durée de la tâche m ; à ne pas confondre avec la durée de mesure du niveau de bruit Lp,A,eqT,mi.</t>
  </si>
  <si>
    <t>Achtung : Tm ist die Dauer der Tätigkeit m und darf nicht mit der Messdauer für den Wert Lp,A,eqT,mi verwechselt werden.</t>
  </si>
  <si>
    <r>
      <t>U(L</t>
    </r>
    <r>
      <rPr>
        <vertAlign val="subscript"/>
        <sz val="11"/>
        <rFont val="Arial"/>
        <family val="2"/>
      </rPr>
      <t>EX,8h</t>
    </r>
    <r>
      <rPr>
        <sz val="11"/>
        <rFont val="Arial"/>
        <family val="2"/>
      </rPr>
      <t>) = 1,65 * u(L</t>
    </r>
    <r>
      <rPr>
        <vertAlign val="subscript"/>
        <sz val="11"/>
        <rFont val="Arial"/>
        <family val="2"/>
      </rPr>
      <t>EX,8h</t>
    </r>
    <r>
      <rPr>
        <sz val="11"/>
        <rFont val="Arial"/>
        <family val="2"/>
      </rPr>
      <t>) =</t>
    </r>
  </si>
  <si>
    <r>
      <t xml:space="preserve">     U(L</t>
    </r>
    <r>
      <rPr>
        <vertAlign val="subscript"/>
        <sz val="11"/>
        <rFont val="Arial"/>
        <family val="2"/>
      </rPr>
      <t>EX,8h</t>
    </r>
    <r>
      <rPr>
        <sz val="11"/>
        <rFont val="Arial"/>
        <family val="2"/>
      </rPr>
      <t>) = 1,65 * u(L</t>
    </r>
    <r>
      <rPr>
        <vertAlign val="subscript"/>
        <sz val="11"/>
        <rFont val="Arial"/>
        <family val="2"/>
      </rPr>
      <t>EX,8h</t>
    </r>
    <r>
      <rPr>
        <sz val="11"/>
        <rFont val="Arial"/>
        <family val="2"/>
      </rPr>
      <t xml:space="preserve">) = </t>
    </r>
  </si>
  <si>
    <t>See ISO 9612:2009 to obtain information on notation, equations and calculations. This spreadsheet uses only the ISO 9612:2009 notation.</t>
  </si>
  <si>
    <t>SRPSKI</t>
  </si>
  <si>
    <t>Ocena mernih nesigurnosti (Dodatak C)</t>
  </si>
  <si>
    <t>Merenje zasnovano na poslu i celodnevno merenje</t>
  </si>
  <si>
    <t>Za unošenje podataka: koristiti samo žuta polja</t>
  </si>
  <si>
    <t>Izmerene vrednosti</t>
  </si>
  <si>
    <t>Broj izmerenih vrednosti</t>
  </si>
  <si>
    <t>Nivoi buke (dB)</t>
  </si>
  <si>
    <t>Parametri</t>
  </si>
  <si>
    <t>Efektivno trajanje radnog dana Te (u časovima)</t>
  </si>
  <si>
    <t>Standardna nesigurnost merne instrumentacije (Tabela C.5)</t>
  </si>
  <si>
    <t xml:space="preserve">Standardna nesigurnost zbog nesavršenog izbora merne pozicije </t>
  </si>
  <si>
    <t>Izračunavanja</t>
  </si>
  <si>
    <t>(ISO reference)</t>
  </si>
  <si>
    <t>(Jed. C.8)</t>
  </si>
  <si>
    <t>(Jed. C.11)</t>
  </si>
  <si>
    <t>(Jed. C.12)</t>
  </si>
  <si>
    <t>(Tabela C.4 za N i u1)</t>
  </si>
  <si>
    <t>Kombinovana standardna nesigurnost</t>
  </si>
  <si>
    <t>Izvor nesigurnosti=</t>
  </si>
  <si>
    <t>1) Nivoi buke</t>
  </si>
  <si>
    <t>2) Instrumentacija Q2</t>
  </si>
  <si>
    <t>3) Pozicija mikrofona Q3</t>
  </si>
  <si>
    <t>Suma (C.9)</t>
  </si>
  <si>
    <t>Proširena nesigurnost</t>
  </si>
  <si>
    <t>Merenje zasnovano na zadatku</t>
  </si>
  <si>
    <t>Podaci</t>
  </si>
  <si>
    <t>Za svaki zadatak:</t>
  </si>
  <si>
    <t>Koristi žute ćelije</t>
  </si>
  <si>
    <t>Koristi zelene ćelije</t>
  </si>
  <si>
    <t>Koristi ljubičaste ćelije</t>
  </si>
  <si>
    <t>za unošenje izmerenih vrednosti Lp,A,eqT,mi i (ako je potrebno) imena zadatka</t>
  </si>
  <si>
    <t>za unošenje dnevnog trajanja, u časovima npr : 7,5 za 7 h 30 min); naznačiti, barem, jednu vrednos</t>
  </si>
  <si>
    <t>za unošenje u2, nesigurnosti zbog merne instrumentacije (vidi Dodatak C, Tabela C.5: u2=0,7 ili 1,5 dB)</t>
  </si>
  <si>
    <t>Zadatak 1</t>
  </si>
  <si>
    <t>Zadatak 2</t>
  </si>
  <si>
    <t>Zadatak 3</t>
  </si>
  <si>
    <t>Zadatak 4</t>
  </si>
  <si>
    <t>Zadatak 5</t>
  </si>
  <si>
    <t>Zadatak 6</t>
  </si>
  <si>
    <t>Zadatak 7</t>
  </si>
  <si>
    <t>Ime zadatka</t>
  </si>
  <si>
    <t>Broj uzorka</t>
  </si>
  <si>
    <t>Trajanje zadatka (h)</t>
  </si>
  <si>
    <t>Mer. instrum.</t>
  </si>
  <si>
    <t>Rezultati dobijeni na osnovu unošenja podataka</t>
  </si>
  <si>
    <t>Definisani zadaci</t>
  </si>
  <si>
    <t>Broj</t>
  </si>
  <si>
    <t>Dnevni nivo buke</t>
  </si>
  <si>
    <t>Ukupno trajanje (h)</t>
  </si>
  <si>
    <t>Lp,A,eqT,m :  Energetski sr. vrednost</t>
  </si>
  <si>
    <t xml:space="preserve">          Standardna nesigurnost u1a</t>
  </si>
  <si>
    <t xml:space="preserve">Tm:  Trajanje zadatka m (h) </t>
  </si>
  <si>
    <t xml:space="preserve">          Standardna nesigurnost u1b</t>
  </si>
  <si>
    <t>Izračunavanja nesigurnosti</t>
  </si>
  <si>
    <t>Broj zadataka</t>
  </si>
  <si>
    <t>Ukupno dnevno trajanje (h)</t>
  </si>
  <si>
    <t>Budžet nesigurnosti</t>
  </si>
  <si>
    <t>Nivo buke</t>
  </si>
  <si>
    <t>Trajanje</t>
  </si>
  <si>
    <t>Standardna nesigurnost</t>
  </si>
  <si>
    <t>Doprinos nivoa buke nesigurnosti</t>
  </si>
  <si>
    <t>Doprinos trajanja zadataka nesigurnosti</t>
  </si>
  <si>
    <t>Doprinos nesigurnosti mer. instrument.</t>
  </si>
  <si>
    <t>Doprinos nesigurnosti merne pozicije</t>
  </si>
  <si>
    <t>Koeficijent osetljivosti</t>
  </si>
  <si>
    <t xml:space="preserve">Rezultati </t>
  </si>
  <si>
    <t>Srednji nivo buke (dB)</t>
  </si>
  <si>
    <t>Trajanje (h)</t>
  </si>
  <si>
    <t>Doprinos nesigurnosti</t>
  </si>
  <si>
    <t>Merna instrumentacija</t>
  </si>
  <si>
    <t>Merna pozicija</t>
  </si>
  <si>
    <t>Suma po zadatku m</t>
  </si>
  <si>
    <t>Suma za sve zadatke</t>
  </si>
  <si>
    <t>(referenca)</t>
  </si>
  <si>
    <t>Simboli, relacije</t>
  </si>
  <si>
    <t>Doprinos zadatka m nivou Lex,8h</t>
  </si>
  <si>
    <t>Dnevni nivo izloženosti buci</t>
  </si>
  <si>
    <t xml:space="preserve">ISO 9612:2009 “Merenje i izračunavanje izloženosti buci na radnom mestu – Inženjerski metod” nudi tri merne strategije: </t>
  </si>
  <si>
    <t>merenje zasnovano na zadatku, merenje zasnovano na poslu, celodnevno merenje</t>
  </si>
  <si>
    <t>Vidi ISO 9612:2009 za dobijanje informacija o obeležavanju, jednačinama i izračunavanjima. Ovaj excel fajl  koristi samo ISO 9612:2009 obeležavanja</t>
  </si>
  <si>
    <t>Ovaj excel fajl automatski izvršava izračunavanja koja se zahtevaju ovim trima metodama.</t>
  </si>
  <si>
    <t>Sve vrednosti su izračunate na osnovu lista "Zadatak-ulazni podaci"</t>
  </si>
  <si>
    <t xml:space="preserve">Za merenja zasnovana na poslu ili celodnevna merenja, kliknuti na “Posao ili Ceo dan” za biranje odgovarajućeg kalkulatora. </t>
  </si>
  <si>
    <t>Za unošenje npodataka, koristiti samo žute ćelije.</t>
  </si>
  <si>
    <t xml:space="preserve">Za merenje zasnovana na zadatku,dva lista su na raspolaganju: ”Zadatak-ulazni podaci”, “Zadatak-rezultati”. </t>
  </si>
  <si>
    <r>
      <t>Kliknuti na list "Zadatak-ulazni podaci". Za dati zadatak  m, uneti I izmerenih vrenosti Lp,A,eqT,mi u  m-tu kolonu (žuto)</t>
    </r>
    <r>
      <rPr>
        <sz val="12"/>
        <rFont val="Times New Roman"/>
        <family val="1"/>
      </rPr>
      <t xml:space="preserve">; </t>
    </r>
  </si>
  <si>
    <t xml:space="preserve">izračunate vrednosti (srednja vrednost Lp,A,eqT,m i njena standardna nesigurnost) su prikazane na dnu ove kolone. </t>
  </si>
  <si>
    <t xml:space="preserve">Uneti trajanje zadatka m u sledeću kolonu (plavo): jedna vrednost je dovoljna. </t>
  </si>
  <si>
    <t xml:space="preserve">J vrednosti trajanja zadatka Tm(j) mogu se uneti ako su na raspolaganju; ovo se zahteva ako nesigurnost u trajanju zadatka mora da se uključi. </t>
  </si>
  <si>
    <t xml:space="preserve">Upozorenje: Tm je trajanje zadatka m; ne treba mešati sa trajanjem merenja za Lp,A,eqT,mi vrednost.  </t>
  </si>
  <si>
    <t xml:space="preserve">“Zadatak-rezultati”: kliknuti na drugi list. Novi list se pojavljuje bez obojenih ćelija jer on sadrži samo izračunate vrednosti. </t>
  </si>
  <si>
    <t xml:space="preserve">Svi rezultati vezani za zadatak se automatski izračunavaju na osnovu ulaznih podatak. Glavni rezultati su dnevni nivo izloženosti buci i njegova standardna nesigurnost. </t>
  </si>
  <si>
    <t xml:space="preserve">Drugi rezultati se mogu koristiti za upoznavanje koji zadatak daje glavni doprinos nivou Lex,8h i koji faktor indukuje najveću nesigurnost. </t>
  </si>
  <si>
    <t>Ova informacija može biti korisna ako broj merenja treba da se poveća da bi smanjili nesigurnost.</t>
  </si>
  <si>
    <t xml:space="preserve">Ovaj excle fajl je zaštićen. This spreadsheet is protected. Međutim, upotreba ove tabele ni u kom slučaju ne može dokazati da su rezultati u skladu sa ISO 9612: 2009. </t>
  </si>
  <si>
    <t>Napomena: Trajanja moraju biti označena decimalnim vrednostima. Ako je potrebno, koristite sledeći kalkulator</t>
  </si>
  <si>
    <t>Dnevno ukupno trajanje (u časovima, minutama, sekundama) :</t>
  </si>
  <si>
    <t>Broj časova za unošenje (decimalna vrednost) :</t>
  </si>
  <si>
    <t>ISO 9612 izračunavanja</t>
  </si>
  <si>
    <t>Language - Langue - Sprache - Jezik</t>
  </si>
  <si>
    <t>Uvod</t>
  </si>
  <si>
    <t>Srpski</t>
  </si>
  <si>
    <t>Da biste promenili jezik, unesite jedan od dostupnih kodova: engleski, francuski, nemački, srpski.</t>
  </si>
  <si>
    <t>Unesite jezični kod u zelenu ćeliju:</t>
  </si>
  <si>
    <t>JEZIK:</t>
  </si>
  <si>
    <t>Napomena:  kliknite na tab</t>
  </si>
  <si>
    <t>"Uvid" da</t>
  </si>
  <si>
    <t>unesete drugi kod</t>
  </si>
  <si>
    <t>Na raspolaganju</t>
  </si>
  <si>
    <t>KODOVI</t>
  </si>
  <si>
    <t>List: Zadatak-ulazni podaci</t>
  </si>
  <si>
    <t>List: Posao ili Ceo dan</t>
  </si>
  <si>
    <t>List: Zadatak-rezultati</t>
  </si>
  <si>
    <t>JEZIK</t>
  </si>
  <si>
    <t>Jezik 1</t>
  </si>
  <si>
    <t>Jezik 2</t>
  </si>
  <si>
    <t>Jezik 3</t>
  </si>
  <si>
    <t>Jezik 4</t>
  </si>
  <si>
    <t>Jezik 5</t>
  </si>
  <si>
    <t>Jezik 6</t>
  </si>
  <si>
    <t>Jezik 7</t>
  </si>
  <si>
    <t>Jezik 8</t>
  </si>
  <si>
    <t>Jezik 9</t>
  </si>
  <si>
    <t>Jezik 10</t>
  </si>
  <si>
    <t>Planiranje/   pauza</t>
  </si>
  <si>
    <t>Bušenje 1</t>
  </si>
  <si>
    <t>Bušenje 2</t>
  </si>
  <si>
    <t>Brušenje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</si>
</sst>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"/>
  </numFmts>
  <fonts count="2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bscript"/>
      <sz val="12"/>
      <name val="Arial"/>
      <family val="2"/>
    </font>
    <font>
      <sz val="12"/>
      <name val="Times New Roman"/>
      <family val="1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bscript"/>
      <sz val="12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vertAlign val="subscript"/>
      <sz val="14"/>
      <name val="Arial"/>
      <family val="2"/>
    </font>
    <font>
      <b/>
      <sz val="12"/>
      <name val="Times New Roman"/>
      <family val="1"/>
    </font>
    <font>
      <vertAlign val="sub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4" fontId="0" fillId="0" borderId="0" xfId="0" applyNumberFormat="1"/>
    <xf numFmtId="166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/>
    <xf numFmtId="166" fontId="0" fillId="0" borderId="0" xfId="0" applyNumberFormat="1"/>
    <xf numFmtId="0" fontId="4" fillId="0" borderId="3" xfId="0" applyFont="1" applyBorder="1"/>
    <xf numFmtId="0" fontId="0" fillId="0" borderId="4" xfId="0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166" fontId="1" fillId="0" borderId="9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10" xfId="0" applyFont="1" applyBorder="1"/>
    <xf numFmtId="0" fontId="1" fillId="0" borderId="8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8" xfId="0" applyBorder="1" applyAlignment="1">
      <alignment horizontal="center"/>
    </xf>
    <xf numFmtId="0" fontId="0" fillId="0" borderId="1" xfId="0" applyBorder="1"/>
    <xf numFmtId="0" fontId="0" fillId="3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0" fillId="0" borderId="1" xfId="0" applyNumberFormat="1" applyBorder="1"/>
    <xf numFmtId="0" fontId="0" fillId="3" borderId="2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166" fontId="1" fillId="0" borderId="1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5" fontId="0" fillId="0" borderId="14" xfId="0" applyNumberFormat="1" applyBorder="1"/>
    <xf numFmtId="165" fontId="0" fillId="0" borderId="27" xfId="0" applyNumberFormat="1" applyBorder="1"/>
    <xf numFmtId="165" fontId="0" fillId="0" borderId="28" xfId="0" applyNumberFormat="1" applyBorder="1"/>
    <xf numFmtId="0" fontId="0" fillId="0" borderId="27" xfId="0" applyBorder="1"/>
    <xf numFmtId="0" fontId="1" fillId="0" borderId="9" xfId="0" applyFont="1" applyBorder="1" applyAlignment="1">
      <alignment horizontal="center"/>
    </xf>
    <xf numFmtId="0" fontId="0" fillId="0" borderId="14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4" borderId="0" xfId="0" applyFill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7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1" xfId="0" applyBorder="1" applyAlignment="1">
      <alignment horizontal="center"/>
    </xf>
    <xf numFmtId="166" fontId="0" fillId="0" borderId="12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3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  <xf numFmtId="166" fontId="0" fillId="0" borderId="18" xfId="0" applyNumberForma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6" fontId="2" fillId="0" borderId="3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0" fillId="0" borderId="14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0" borderId="9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8" xfId="0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40" xfId="0" applyBorder="1" applyAlignment="1">
      <alignment vertical="top"/>
    </xf>
    <xf numFmtId="0" fontId="1" fillId="0" borderId="0" xfId="0" applyFont="1" applyAlignment="1">
      <alignment vertical="top"/>
    </xf>
    <xf numFmtId="0" fontId="1" fillId="0" borderId="38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9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6" fillId="0" borderId="0" xfId="0" applyFont="1" applyAlignment="1">
      <alignment horizontal="left" wrapText="1"/>
    </xf>
    <xf numFmtId="0" fontId="1" fillId="0" borderId="9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3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0" fillId="3" borderId="0" xfId="0" applyFill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0" fillId="0" borderId="42" xfId="0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2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166" fontId="6" fillId="0" borderId="14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6" fillId="0" borderId="0" xfId="0" applyFont="1"/>
    <xf numFmtId="0" fontId="4" fillId="5" borderId="0" xfId="0" applyFont="1" applyFill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7" borderId="3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" fillId="7" borderId="34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7" borderId="3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6" fillId="0" borderId="27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0" fillId="0" borderId="2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1" fillId="0" borderId="36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28" xfId="0" applyFont="1" applyBorder="1" applyAlignment="1">
      <alignment horizontal="center" wrapText="1"/>
    </xf>
    <xf numFmtId="0" fontId="0" fillId="0" borderId="9" xfId="0" applyBorder="1"/>
    <xf numFmtId="0" fontId="6" fillId="0" borderId="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1" fillId="7" borderId="1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top"/>
    </xf>
    <xf numFmtId="0" fontId="0" fillId="0" borderId="40" xfId="0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39" xfId="0" applyFont="1" applyBorder="1" applyAlignment="1">
      <alignment horizontal="center" vertical="top"/>
    </xf>
    <xf numFmtId="0" fontId="1" fillId="3" borderId="45" xfId="0" applyFont="1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top" wrapText="1"/>
      <protection locked="0"/>
    </xf>
    <xf numFmtId="0" fontId="0" fillId="0" borderId="46" xfId="0" applyBorder="1" applyAlignment="1">
      <alignment horizontal="center" vertical="top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6" fillId="4" borderId="43" xfId="0" applyFont="1" applyFill="1" applyBorder="1" applyAlignment="1" applyProtection="1">
      <alignment horizontal="center" vertical="top" wrapText="1"/>
      <protection locked="0"/>
    </xf>
    <xf numFmtId="0" fontId="6" fillId="0" borderId="44" xfId="0" applyFont="1" applyBorder="1" applyAlignment="1" applyProtection="1">
      <alignment horizontal="center" vertical="top"/>
      <protection locked="0"/>
    </xf>
    <xf numFmtId="0" fontId="6" fillId="0" borderId="8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wrapText="1"/>
    </xf>
    <xf numFmtId="0" fontId="6" fillId="4" borderId="47" xfId="0" applyFont="1" applyFill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40" xfId="0" applyBorder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0" fillId="3" borderId="46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2"/>
  <sheetViews>
    <sheetView showGridLines="0" tabSelected="1" workbookViewId="0">
      <selection activeCell="K13" sqref="K13"/>
    </sheetView>
  </sheetViews>
  <sheetFormatPr defaultColWidth="11.42578125" defaultRowHeight="12.75" x14ac:dyDescent="0.2"/>
  <cols>
    <col min="1" max="1" width="2.85546875" customWidth="1"/>
    <col min="2" max="2" width="49.7109375" customWidth="1"/>
    <col min="3" max="3" width="12.7109375" customWidth="1"/>
    <col min="4" max="11" width="11.42578125" customWidth="1"/>
    <col min="12" max="13" width="0" hidden="1" customWidth="1"/>
  </cols>
  <sheetData>
    <row r="1" spans="2:6" x14ac:dyDescent="0.2">
      <c r="B1" s="1" t="s">
        <v>596</v>
      </c>
      <c r="C1" s="4" t="s">
        <v>298</v>
      </c>
      <c r="D1" s="4" t="s">
        <v>294</v>
      </c>
      <c r="E1" s="4" t="s">
        <v>296</v>
      </c>
      <c r="F1" s="4" t="s">
        <v>598</v>
      </c>
    </row>
    <row r="2" spans="2:6" x14ac:dyDescent="0.2">
      <c r="B2" t="s">
        <v>597</v>
      </c>
      <c r="C2" s="2" t="s">
        <v>287</v>
      </c>
      <c r="D2" s="2" t="s">
        <v>295</v>
      </c>
      <c r="E2" s="2" t="s">
        <v>297</v>
      </c>
      <c r="F2" s="2" t="s">
        <v>599</v>
      </c>
    </row>
    <row r="4" spans="2:6" ht="15.75" x14ac:dyDescent="0.25">
      <c r="B4" s="171" t="s">
        <v>600</v>
      </c>
    </row>
    <row r="5" spans="2:6" x14ac:dyDescent="0.2">
      <c r="B5" s="1" t="s">
        <v>299</v>
      </c>
    </row>
    <row r="6" spans="2:6" x14ac:dyDescent="0.2">
      <c r="B6" s="6" t="s">
        <v>379</v>
      </c>
    </row>
    <row r="8" spans="2:6" ht="15" x14ac:dyDescent="0.25">
      <c r="B8" t="s">
        <v>601</v>
      </c>
      <c r="C8" s="173" t="s">
        <v>599</v>
      </c>
    </row>
    <row r="10" spans="2:6" ht="15.75" x14ac:dyDescent="0.25">
      <c r="B10" t="str">
        <f>HLOOKUP(Jezik!$B$6,Jezik!$E$87:'Jezik'!$N$104,1+ 1)</f>
        <v xml:space="preserve">ISO 9612:2009 “Merenje i izračunavanje izloženosti buci na radnom mestu – Inženjerski metod” nudi tri merne strategije: </v>
      </c>
      <c r="D10" s="165"/>
    </row>
    <row r="11" spans="2:6" ht="15.75" x14ac:dyDescent="0.25">
      <c r="B11" t="str">
        <f>HLOOKUP(Jezik!$B$6,Jezik!$E$87:'Jezik'!$N$104,1+ 2)</f>
        <v>merenje zasnovano na zadatku, merenje zasnovano na poslu, celodnevno merenje</v>
      </c>
      <c r="D11" s="165"/>
    </row>
    <row r="12" spans="2:6" ht="15.75" x14ac:dyDescent="0.25">
      <c r="B12" t="str">
        <f>HLOOKUP(Jezik!$B$6,Jezik!$E$87:'Jezik'!$N$104,1+ 3)</f>
        <v>Ovaj excel fajl automatski izvršava izračunavanja koja se zahtevaju ovim trima metodama.</v>
      </c>
      <c r="D12" s="165"/>
    </row>
    <row r="13" spans="2:6" ht="15.75" x14ac:dyDescent="0.25">
      <c r="B13" t="str">
        <f>HLOOKUP(Jezik!$B$6,Jezik!$E$87:'Jezik'!$N$104,1+ 4)</f>
        <v>Vidi ISO 9612:2009 za dobijanje informacija o obeležavanju, jednačinama i izračunavanjima. Ovaj excel fajl  koristi samo ISO 9612:2009 obeležavanja</v>
      </c>
      <c r="D13" s="165"/>
    </row>
    <row r="15" spans="2:6" ht="15.75" x14ac:dyDescent="0.25">
      <c r="B15" t="str">
        <f>HLOOKUP(Jezik!$B$6,Jezik!$E$87:'Jezik'!$N$104,1+ 5)</f>
        <v xml:space="preserve">Za merenja zasnovana na poslu ili celodnevna merenja, kliknuti na “Posao ili Ceo dan” za biranje odgovarajućeg kalkulatora. </v>
      </c>
      <c r="D15" s="165"/>
    </row>
    <row r="16" spans="2:6" ht="15.75" x14ac:dyDescent="0.25">
      <c r="B16" t="str">
        <f>HLOOKUP(Jezik!$B$6,Jezik!$E$87:'Jezik'!$N$104,1+ 6)</f>
        <v>Za unošenje npodataka, koristiti samo žute ćelije.</v>
      </c>
      <c r="D16" s="165"/>
    </row>
    <row r="17" spans="2:5" ht="15.75" x14ac:dyDescent="0.25">
      <c r="D17" s="165"/>
    </row>
    <row r="18" spans="2:5" ht="15.75" x14ac:dyDescent="0.25">
      <c r="B18" t="str">
        <f>HLOOKUP(Jezik!$B$6,Jezik!$E$87:'Jezik'!$N$104,1+ 7)</f>
        <v xml:space="preserve">Za merenje zasnovana na zadatku,dva lista su na raspolaganju: ”Zadatak-ulazni podaci”, “Zadatak-rezultati”. </v>
      </c>
      <c r="D18" s="165"/>
    </row>
    <row r="19" spans="2:5" ht="15.75" x14ac:dyDescent="0.25">
      <c r="B19" t="str">
        <f>HLOOKUP(Jezik!$B$6,Jezik!$E$87:'Jezik'!$N$104,1+ 8)</f>
        <v xml:space="preserve">Kliknuti na list "Zadatak-ulazni podaci". Za dati zadatak  m, uneti I izmerenih vrenosti Lp,A,eqT,mi u  m-tu kolonu (žuto); </v>
      </c>
      <c r="D19" s="165"/>
    </row>
    <row r="20" spans="2:5" ht="15.75" x14ac:dyDescent="0.25">
      <c r="B20" t="str">
        <f>HLOOKUP(Jezik!$B$6,Jezik!$E$87:'Jezik'!$N$104,1+ 9)</f>
        <v xml:space="preserve">izračunate vrednosti (srednja vrednost Lp,A,eqT,m i njena standardna nesigurnost) su prikazane na dnu ove kolone. </v>
      </c>
      <c r="D20" s="165"/>
    </row>
    <row r="21" spans="2:5" ht="15.75" x14ac:dyDescent="0.25">
      <c r="B21" t="str">
        <f>HLOOKUP(Jezik!$B$6,Jezik!$E$87:'Jezik'!$N$104,1+ 10)</f>
        <v xml:space="preserve">Uneti trajanje zadatka m u sledeću kolonu (plavo): jedna vrednost je dovoljna. </v>
      </c>
      <c r="D21" s="165"/>
    </row>
    <row r="22" spans="2:5" ht="15.75" x14ac:dyDescent="0.25">
      <c r="B22" t="str">
        <f>HLOOKUP(Jezik!$B$6,Jezik!$E$87:'Jezik'!$N$104,1+ 11)</f>
        <v xml:space="preserve">J vrednosti trajanja zadatka Tm(j) mogu se uneti ako su na raspolaganju; ovo se zahteva ako nesigurnost u trajanju zadatka mora da se uključi. </v>
      </c>
      <c r="D22" s="165"/>
      <c r="E22" s="168"/>
    </row>
    <row r="23" spans="2:5" ht="15.75" x14ac:dyDescent="0.25">
      <c r="B23" t="str">
        <f>HLOOKUP(Jezik!$B$6,Jezik!$E$87:'Jezik'!$N$104,1+ 12)</f>
        <v xml:space="preserve">Upozorenje: Tm je trajanje zadatka m; ne treba mešati sa trajanjem merenja za Lp,A,eqT,mi vrednost.  </v>
      </c>
      <c r="D23" s="165"/>
    </row>
    <row r="24" spans="2:5" ht="15.75" x14ac:dyDescent="0.25">
      <c r="D24" s="165"/>
    </row>
    <row r="25" spans="2:5" ht="15.75" x14ac:dyDescent="0.25">
      <c r="B25" t="str">
        <f>HLOOKUP(Jezik!$B$6,Jezik!$E$87:'Jezik'!$N$104,1+ 13)</f>
        <v xml:space="preserve">“Zadatak-rezultati”: kliknuti na drugi list. Novi list se pojavljuje bez obojenih ćelija jer on sadrži samo izračunate vrednosti. </v>
      </c>
      <c r="D25" s="165"/>
    </row>
    <row r="26" spans="2:5" ht="15.75" x14ac:dyDescent="0.25">
      <c r="B26" t="str">
        <f>HLOOKUP(Jezik!$B$6,Jezik!$E$87:'Jezik'!$N$104,1+ 14)</f>
        <v xml:space="preserve">Svi rezultati vezani za zadatak se automatski izračunavaju na osnovu ulaznih podatak. Glavni rezultati su dnevni nivo izloženosti buci i njegova standardna nesigurnost. </v>
      </c>
      <c r="D26" s="165"/>
    </row>
    <row r="27" spans="2:5" ht="15.75" x14ac:dyDescent="0.25">
      <c r="B27" t="str">
        <f>HLOOKUP(Jezik!$B$6,Jezik!$E$87:'Jezik'!$N$104,1+ 15)</f>
        <v xml:space="preserve">Drugi rezultati se mogu koristiti za upoznavanje koji zadatak daje glavni doprinos nivou Lex,8h i koji faktor indukuje najveću nesigurnost. </v>
      </c>
      <c r="D27" s="165"/>
    </row>
    <row r="28" spans="2:5" ht="15.75" x14ac:dyDescent="0.25">
      <c r="B28" t="str">
        <f>HLOOKUP(Jezik!$B$6,Jezik!$E$87:'Jezik'!$N$104,1+ 16)</f>
        <v>Ova informacija može biti korisna ako broj merenja treba da se poveća da bi smanjili nesigurnost.</v>
      </c>
      <c r="D28" s="165"/>
    </row>
    <row r="29" spans="2:5" ht="15.75" x14ac:dyDescent="0.25">
      <c r="D29" s="165"/>
    </row>
    <row r="30" spans="2:5" ht="15.75" x14ac:dyDescent="0.25">
      <c r="B30" t="str">
        <f>HLOOKUP(Jezik!$B$6,Jezik!$E$87:'Jezik'!$N$104,1+ 17)</f>
        <v xml:space="preserve">Ovaj excle fajl je zaštićen. This spreadsheet is protected. Međutim, upotreba ove tabele ni u kom slučaju ne može dokazati da su rezultati u skladu sa ISO 9612: 2009. </v>
      </c>
      <c r="D30" s="165"/>
    </row>
    <row r="33" spans="2:12" x14ac:dyDescent="0.2">
      <c r="B33" t="str">
        <f>HLOOKUP(Jezik!$B$6,Jezik!$E$87:'Jezik'!$N$107,1+ 18)</f>
        <v>Napomena: Trajanja moraju biti označena decimalnim vrednostima. Ako je potrebno, koristite sledeći kalkulator</v>
      </c>
    </row>
    <row r="34" spans="2:12" x14ac:dyDescent="0.2">
      <c r="B34" t="s">
        <v>321</v>
      </c>
      <c r="C34" s="2" t="s">
        <v>318</v>
      </c>
      <c r="D34" s="2" t="s">
        <v>319</v>
      </c>
      <c r="E34" s="2" t="s">
        <v>320</v>
      </c>
    </row>
    <row r="35" spans="2:12" x14ac:dyDescent="0.2">
      <c r="B35" s="3" t="str">
        <f>HLOOKUP(Jezik!$B$6,Jezik!$E$87:'Jezik'!$N$107,1+ 19)</f>
        <v>Dnevno ukupno trajanje (u časovima, minutama, sekundama) :</v>
      </c>
      <c r="C35" s="174">
        <v>1</v>
      </c>
      <c r="D35" s="175">
        <v>12</v>
      </c>
      <c r="E35" s="176">
        <v>50</v>
      </c>
      <c r="F35" s="2"/>
      <c r="L35">
        <f>IF(C35="",0,3600*C35)</f>
        <v>3600</v>
      </c>
    </row>
    <row r="36" spans="2:12" x14ac:dyDescent="0.2">
      <c r="L36">
        <f>IF(D35="",0,60*D35)</f>
        <v>720</v>
      </c>
    </row>
    <row r="37" spans="2:12" x14ac:dyDescent="0.2">
      <c r="B37" s="3" t="str">
        <f>HLOOKUP(Jezik!$B$6,Jezik!$E$87:'Jezik'!$N$107,1+ 20)</f>
        <v>Broj časova za unošenje (decimalna vrednost) :</v>
      </c>
      <c r="C37" s="177">
        <f>IF(L38=0,"",L38/3600)</f>
        <v>1.2138888888888888</v>
      </c>
      <c r="L37">
        <f>IF(E35="",0,E35)</f>
        <v>50</v>
      </c>
    </row>
    <row r="38" spans="2:12" x14ac:dyDescent="0.2">
      <c r="L38">
        <f>SUM(L35:L37)</f>
        <v>4370</v>
      </c>
    </row>
    <row r="62" spans="2:2" x14ac:dyDescent="0.2">
      <c r="B62" s="6"/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showGridLines="0" workbookViewId="0">
      <selection activeCell="AB15" sqref="AB15"/>
    </sheetView>
  </sheetViews>
  <sheetFormatPr defaultColWidth="11.42578125" defaultRowHeight="12.75" x14ac:dyDescent="0.2"/>
  <cols>
    <col min="1" max="1" width="13.7109375" style="5" customWidth="1"/>
    <col min="2" max="2" width="12.28515625" style="2" customWidth="1"/>
    <col min="3" max="3" width="8.28515625" customWidth="1"/>
    <col min="4" max="4" width="3.28515625" customWidth="1"/>
    <col min="5" max="5" width="16.85546875" style="5" customWidth="1"/>
    <col min="6" max="6" width="9.42578125" customWidth="1"/>
    <col min="7" max="7" width="7.28515625" customWidth="1"/>
    <col min="8" max="8" width="24.42578125" customWidth="1"/>
    <col min="9" max="9" width="9.7109375" style="2" customWidth="1"/>
    <col min="10" max="11" width="11.42578125" customWidth="1"/>
    <col min="12" max="12" width="0" hidden="1" customWidth="1"/>
    <col min="13" max="14" width="11.42578125" hidden="1" customWidth="1"/>
    <col min="15" max="15" width="6.42578125" hidden="1" customWidth="1"/>
    <col min="16" max="16" width="11.28515625" hidden="1" customWidth="1"/>
    <col min="17" max="19" width="11.42578125" hidden="1" customWidth="1"/>
    <col min="20" max="20" width="12.5703125" hidden="1" customWidth="1"/>
    <col min="21" max="25" width="11.42578125" hidden="1" customWidth="1"/>
  </cols>
  <sheetData>
    <row r="1" spans="1:24" ht="15.75" x14ac:dyDescent="0.2">
      <c r="A1" s="179" t="s">
        <v>0</v>
      </c>
      <c r="B1" s="76" t="str">
        <f>HLOOKUP(Jezik!$B$6,Jezik!$E$4:'Jezik'!$N$29,1+1)</f>
        <v>Ocena mernih nesigurnosti (Dodatak C)</v>
      </c>
      <c r="C1" s="77"/>
      <c r="D1" s="77"/>
      <c r="E1" s="78"/>
      <c r="F1" s="77"/>
      <c r="G1" s="77"/>
      <c r="H1" s="77"/>
      <c r="I1" s="73"/>
      <c r="J1" s="77"/>
      <c r="K1" s="77"/>
    </row>
    <row r="2" spans="1:24" ht="15.75" x14ac:dyDescent="0.2">
      <c r="A2" s="76"/>
      <c r="B2" s="76" t="str">
        <f>HLOOKUP(Jezik!$B$6,Jezik!$E$4:'Jezik'!$N$29,1+2)</f>
        <v>Merenje zasnovano na poslu i celodnevno merenje</v>
      </c>
      <c r="C2" s="77"/>
      <c r="D2" s="77"/>
      <c r="E2" s="78"/>
      <c r="F2" s="77"/>
      <c r="G2" s="77"/>
      <c r="H2" s="77"/>
      <c r="I2" s="73"/>
      <c r="J2" s="77"/>
      <c r="K2" s="77"/>
    </row>
    <row r="3" spans="1:24" ht="15.75" x14ac:dyDescent="0.2">
      <c r="A3" s="76"/>
      <c r="B3" s="76"/>
      <c r="C3" s="77"/>
      <c r="D3" s="77"/>
      <c r="E3" s="78"/>
      <c r="F3" s="77"/>
      <c r="G3" s="77"/>
      <c r="H3" s="77"/>
      <c r="I3" s="73"/>
      <c r="J3" s="77"/>
      <c r="K3" s="77"/>
    </row>
    <row r="4" spans="1:24" x14ac:dyDescent="0.2">
      <c r="A4" s="208" t="str">
        <f>HLOOKUP(Jezik!$B$6,Jezik!$E$4:'Jezik'!$N$29,1+3)</f>
        <v>Za unošenje podataka: koristiti samo žuta polja</v>
      </c>
      <c r="B4" s="209"/>
      <c r="C4" s="209"/>
      <c r="D4" s="209"/>
      <c r="E4" s="210"/>
      <c r="F4" s="77"/>
      <c r="G4" s="77"/>
      <c r="H4" s="91" t="str">
        <f>HLOOKUP(Jezik!$B$6,Jezik!$E$4:'Jezik'!$N$29,1+12)</f>
        <v>Izračunavanja</v>
      </c>
      <c r="I4" s="73"/>
      <c r="J4" s="77"/>
      <c r="K4" s="77"/>
    </row>
    <row r="5" spans="1:24" x14ac:dyDescent="0.2">
      <c r="A5" s="107"/>
      <c r="B5" s="107"/>
      <c r="C5" s="77"/>
      <c r="D5" s="77"/>
      <c r="E5" s="78"/>
      <c r="F5" s="77"/>
      <c r="G5" s="77"/>
      <c r="H5" s="178" t="str">
        <f>HLOOKUP(Jezik!$B$6,Jezik!$E$4:'Jezik'!$N$29,1+13)</f>
        <v>(ISO reference)</v>
      </c>
      <c r="I5" s="73"/>
      <c r="J5" s="77"/>
      <c r="K5" s="77"/>
    </row>
    <row r="6" spans="1:24" ht="15.75" customHeight="1" thickBot="1" x14ac:dyDescent="0.25">
      <c r="A6" s="217" t="str">
        <f>HLOOKUP(Jezik!$B$6,Jezik!$E$4:'Jezik'!$N$29,1+4)</f>
        <v>Izmerene vrednosti</v>
      </c>
      <c r="B6" s="213" t="str">
        <f>HLOOKUP(Jezik!$B$6,Jezik!$E$4:'Jezik'!$N$29,1+6)</f>
        <v>Nivoi buke (dB)</v>
      </c>
      <c r="C6" s="214"/>
      <c r="D6" s="73"/>
      <c r="E6" s="91" t="str">
        <f>HLOOKUP(Jezik!$B$6,Jezik!$E$4:'Jezik'!$N$29,1+7)</f>
        <v>Parametri</v>
      </c>
      <c r="F6" s="77"/>
      <c r="G6" s="77"/>
      <c r="H6" s="77"/>
      <c r="I6" s="73"/>
      <c r="J6" s="77"/>
      <c r="K6" s="77"/>
    </row>
    <row r="7" spans="1:24" ht="15.75" customHeight="1" thickBot="1" x14ac:dyDescent="0.3">
      <c r="A7" s="212"/>
      <c r="B7" s="200" t="s">
        <v>456</v>
      </c>
      <c r="C7" s="180">
        <v>88.1</v>
      </c>
      <c r="D7" s="77"/>
      <c r="E7" s="178" t="str">
        <f>HLOOKUP(Jezik!$B$6,Jezik!$E$4:'Jezik'!$N$29,1+8)</f>
        <v>To ( h ) =</v>
      </c>
      <c r="F7" s="82">
        <v>8</v>
      </c>
      <c r="G7" s="77"/>
      <c r="H7" s="178" t="str">
        <f>HLOOKUP(Jezik!$B$6,Jezik!$E$4:'Jezik'!$N$29,1+14)</f>
        <v>(Jed. C.8)</v>
      </c>
      <c r="I7" s="181" t="s">
        <v>267</v>
      </c>
      <c r="J7" s="193">
        <f>P30</f>
        <v>95.096389308177834</v>
      </c>
      <c r="K7" s="77"/>
      <c r="N7" t="str">
        <f>B7</f>
        <v>Lp,A,eqT,1</v>
      </c>
      <c r="O7">
        <f>C7</f>
        <v>88.1</v>
      </c>
      <c r="P7">
        <f>IF(O7&gt;0,10^(O7/10-8),"")</f>
        <v>6.4565422903465368</v>
      </c>
      <c r="R7" s="1" t="s">
        <v>28</v>
      </c>
      <c r="T7" t="s">
        <v>27</v>
      </c>
      <c r="V7" s="15" t="s">
        <v>26</v>
      </c>
      <c r="W7" s="12"/>
      <c r="X7" s="12"/>
    </row>
    <row r="8" spans="1:24" ht="15.75" customHeight="1" thickBot="1" x14ac:dyDescent="0.25">
      <c r="A8" s="107"/>
      <c r="B8" s="201" t="s">
        <v>457</v>
      </c>
      <c r="C8" s="182">
        <v>86.1</v>
      </c>
      <c r="D8" s="77"/>
      <c r="E8" s="78"/>
      <c r="F8" s="77"/>
      <c r="G8" s="77"/>
      <c r="H8" s="73"/>
      <c r="I8" s="73"/>
      <c r="J8" s="97"/>
      <c r="K8" s="77"/>
      <c r="N8" t="str">
        <f t="shared" ref="N8:N28" si="0">B8</f>
        <v>Lp,A,eqT,2</v>
      </c>
      <c r="O8">
        <f t="shared" ref="O8:O28" si="1">C8</f>
        <v>86.1</v>
      </c>
      <c r="P8">
        <f t="shared" ref="P8:P26" si="2">IF(O8&gt;0,10^(O8/10-8),"")</f>
        <v>4.0738027780411228</v>
      </c>
      <c r="S8" s="12"/>
      <c r="T8" t="s">
        <v>8</v>
      </c>
      <c r="W8" s="12"/>
      <c r="X8" s="12"/>
    </row>
    <row r="9" spans="1:24" ht="15.75" customHeight="1" x14ac:dyDescent="0.25">
      <c r="A9" s="78"/>
      <c r="B9" s="201" t="s">
        <v>458</v>
      </c>
      <c r="C9" s="182">
        <v>89.7</v>
      </c>
      <c r="D9" s="77"/>
      <c r="E9" s="215" t="str">
        <f>HLOOKUP(Jezik!$B$6,Jezik!$E$4:'Jezik'!$N$29,1+9)</f>
        <v>Efektivno trajanje radnog dana Te (u časovima)</v>
      </c>
      <c r="F9" s="216"/>
      <c r="G9" s="77"/>
      <c r="H9" s="178" t="str">
        <f>HLOOKUP(Jezik!$B$6,Jezik!$E$4:'Jezik'!$N$29,1+15)</f>
        <v>(Jed. C.11)</v>
      </c>
      <c r="I9" s="178" t="s">
        <v>453</v>
      </c>
      <c r="J9" s="95">
        <f>P29</f>
        <v>95.37667654418027</v>
      </c>
      <c r="K9" s="77"/>
      <c r="N9" t="str">
        <f t="shared" si="0"/>
        <v>Lp,A,eqT,3</v>
      </c>
      <c r="O9">
        <f t="shared" si="1"/>
        <v>89.7</v>
      </c>
      <c r="P9">
        <f t="shared" si="2"/>
        <v>9.3325430079699281</v>
      </c>
      <c r="R9" s="17" t="s">
        <v>29</v>
      </c>
      <c r="S9" s="18"/>
      <c r="T9" s="22"/>
      <c r="U9" s="2" t="s">
        <v>2</v>
      </c>
      <c r="V9" s="13"/>
      <c r="W9" s="13" t="s">
        <v>9</v>
      </c>
      <c r="X9" s="12"/>
    </row>
    <row r="10" spans="1:24" ht="15.75" customHeight="1" x14ac:dyDescent="0.35">
      <c r="A10" s="199"/>
      <c r="B10" s="201" t="s">
        <v>459</v>
      </c>
      <c r="C10" s="182">
        <v>86.5</v>
      </c>
      <c r="D10" s="77"/>
      <c r="E10" s="216"/>
      <c r="F10" s="216"/>
      <c r="G10" s="77"/>
      <c r="H10" s="73"/>
      <c r="I10" s="183"/>
      <c r="J10" s="73"/>
      <c r="K10" s="77"/>
      <c r="N10" t="str">
        <f t="shared" si="0"/>
        <v>Lp,A,eqT,4</v>
      </c>
      <c r="O10">
        <f t="shared" si="1"/>
        <v>86.5</v>
      </c>
      <c r="P10">
        <f t="shared" si="2"/>
        <v>4.4668359215096354</v>
      </c>
      <c r="R10" s="19" t="s">
        <v>35</v>
      </c>
      <c r="T10" s="23">
        <f>J11</f>
        <v>5.9449458325859421</v>
      </c>
      <c r="U10" s="2" t="s">
        <v>10</v>
      </c>
      <c r="V10">
        <v>0.76766657999999999</v>
      </c>
      <c r="W10" s="2" t="s">
        <v>11</v>
      </c>
      <c r="X10">
        <f>T13*(V18+(POWER((T11-2),(-V12))))</f>
        <v>0.77462076779108779</v>
      </c>
    </row>
    <row r="11" spans="1:24" ht="15.75" customHeight="1" thickBot="1" x14ac:dyDescent="0.25">
      <c r="A11" s="78"/>
      <c r="B11" s="201" t="s">
        <v>460</v>
      </c>
      <c r="C11" s="182">
        <v>91.1</v>
      </c>
      <c r="D11" s="77"/>
      <c r="E11" s="91" t="s">
        <v>45</v>
      </c>
      <c r="F11" s="184">
        <v>7.5</v>
      </c>
      <c r="G11" s="77"/>
      <c r="H11" s="178" t="str">
        <f>HLOOKUP(Jezik!$B$6,Jezik!$E$4:'Jezik'!$N$29,1+16)</f>
        <v>(Jed. C.12)</v>
      </c>
      <c r="I11" s="178" t="s">
        <v>271</v>
      </c>
      <c r="J11" s="190">
        <f>IF(C28&lt;2,0,STDEV(C7:C26))</f>
        <v>5.9449458325859421</v>
      </c>
      <c r="K11" s="77"/>
      <c r="N11" t="str">
        <f t="shared" si="0"/>
        <v>Lp,A,eqT,5</v>
      </c>
      <c r="O11">
        <f t="shared" si="1"/>
        <v>91.1</v>
      </c>
      <c r="P11">
        <f t="shared" si="2"/>
        <v>12.882495516931323</v>
      </c>
      <c r="R11" s="20" t="s">
        <v>33</v>
      </c>
      <c r="S11" s="21"/>
      <c r="T11" s="14">
        <f>C28</f>
        <v>7</v>
      </c>
      <c r="U11" s="2" t="s">
        <v>12</v>
      </c>
      <c r="V11">
        <v>3.8716868999999998</v>
      </c>
      <c r="W11" s="2" t="s">
        <v>13</v>
      </c>
      <c r="X11">
        <f>V11+V13/POWER(T11-2,V12)</f>
        <v>5.520253139497175</v>
      </c>
    </row>
    <row r="12" spans="1:24" ht="15.75" customHeight="1" x14ac:dyDescent="0.2">
      <c r="A12" s="78"/>
      <c r="B12" s="201" t="s">
        <v>461</v>
      </c>
      <c r="C12" s="182">
        <v>86.7</v>
      </c>
      <c r="D12" s="77"/>
      <c r="E12" s="78"/>
      <c r="F12" s="77"/>
      <c r="G12" s="77"/>
      <c r="H12" s="73"/>
      <c r="I12" s="183"/>
      <c r="J12" s="191"/>
      <c r="K12" s="77"/>
      <c r="N12" t="str">
        <f t="shared" si="0"/>
        <v>Lp,A,eqT,6</v>
      </c>
      <c r="O12">
        <f t="shared" si="1"/>
        <v>86.7</v>
      </c>
      <c r="P12">
        <f t="shared" si="2"/>
        <v>4.6773514128719818</v>
      </c>
      <c r="R12" s="12"/>
      <c r="U12" s="2" t="s">
        <v>14</v>
      </c>
      <c r="V12">
        <v>0.80598919000000002</v>
      </c>
      <c r="W12" s="2" t="s">
        <v>15</v>
      </c>
      <c r="X12">
        <f>X10*(1-V14*EXP(-V15*X10))</f>
        <v>0.62798711113767469</v>
      </c>
    </row>
    <row r="13" spans="1:24" ht="15.75" customHeight="1" x14ac:dyDescent="0.2">
      <c r="A13" s="78"/>
      <c r="B13" s="201" t="s">
        <v>462</v>
      </c>
      <c r="C13" s="182">
        <v>103</v>
      </c>
      <c r="D13" s="77"/>
      <c r="E13" s="78"/>
      <c r="F13" s="77"/>
      <c r="G13" s="77"/>
      <c r="H13" s="178" t="str">
        <f>HLOOKUP(Jezik!$B$6,Jezik!$E$4:'Jezik'!$N$29,1+17)</f>
        <v>(Tabela C.4 za N i u1)</v>
      </c>
      <c r="I13" s="178" t="s">
        <v>272</v>
      </c>
      <c r="J13" s="190">
        <f>T19</f>
        <v>7.0870279205854878</v>
      </c>
      <c r="K13" s="77"/>
      <c r="N13" t="str">
        <f t="shared" si="0"/>
        <v>Lp,A,eqT,7</v>
      </c>
      <c r="O13">
        <f t="shared" si="1"/>
        <v>103</v>
      </c>
      <c r="P13">
        <f t="shared" si="2"/>
        <v>199.52623149688836</v>
      </c>
      <c r="R13" s="12"/>
      <c r="S13" s="3" t="s">
        <v>16</v>
      </c>
      <c r="T13">
        <f>T10*0.1*LN(10)</f>
        <v>1.3688743652769468</v>
      </c>
      <c r="U13" s="2" t="s">
        <v>17</v>
      </c>
      <c r="V13">
        <v>6.0321018999999998</v>
      </c>
      <c r="W13" s="2" t="s">
        <v>18</v>
      </c>
      <c r="X13">
        <f>1+V16*EXP(-V17*X10)</f>
        <v>1.1592720456010674</v>
      </c>
    </row>
    <row r="14" spans="1:24" ht="15.75" customHeight="1" x14ac:dyDescent="0.2">
      <c r="A14" s="78"/>
      <c r="B14" s="201" t="s">
        <v>463</v>
      </c>
      <c r="C14" s="182"/>
      <c r="D14" s="77"/>
      <c r="E14" s="215" t="str">
        <f>HLOOKUP(Jezik!$B$6,Jezik!$E$4:'Jezik'!$N$29,1+10)</f>
        <v>Standardna nesigurnost merne instrumentacije (Tabela C.5)</v>
      </c>
      <c r="F14" s="216"/>
      <c r="G14" s="77"/>
      <c r="H14" s="77"/>
      <c r="I14" s="73"/>
      <c r="J14" s="191"/>
      <c r="K14" s="77"/>
      <c r="N14" t="str">
        <f t="shared" si="0"/>
        <v>Lp,A,eqT,8</v>
      </c>
      <c r="O14">
        <f t="shared" si="1"/>
        <v>0</v>
      </c>
      <c r="P14" t="str">
        <f t="shared" si="2"/>
        <v/>
      </c>
      <c r="R14" s="12"/>
      <c r="S14" s="12"/>
      <c r="U14" s="2" t="s">
        <v>19</v>
      </c>
      <c r="V14">
        <v>0.89998153999999997</v>
      </c>
      <c r="W14" s="2" t="s">
        <v>20</v>
      </c>
      <c r="X14">
        <f>X11*X12/X13</f>
        <v>2.9903660965309471</v>
      </c>
    </row>
    <row r="15" spans="1:24" ht="15.75" customHeight="1" x14ac:dyDescent="0.2">
      <c r="A15" s="78"/>
      <c r="B15" s="201" t="s">
        <v>464</v>
      </c>
      <c r="C15" s="182"/>
      <c r="D15" s="77"/>
      <c r="E15" s="216"/>
      <c r="F15" s="216"/>
      <c r="G15" s="77"/>
      <c r="H15" s="80"/>
      <c r="I15" s="91" t="str">
        <f>HLOOKUP(Jezik!$B$6,Jezik!$E$4:'Jezik'!$N$29,1+18)</f>
        <v>Kombinovana standardna nesigurnost</v>
      </c>
      <c r="J15" s="192"/>
      <c r="K15" s="77"/>
      <c r="N15" t="str">
        <f t="shared" si="0"/>
        <v>Lp,A,eqT,9</v>
      </c>
      <c r="O15">
        <f t="shared" si="1"/>
        <v>0</v>
      </c>
      <c r="P15" t="str">
        <f t="shared" si="2"/>
        <v/>
      </c>
      <c r="U15" s="2" t="s">
        <v>21</v>
      </c>
      <c r="V15">
        <v>2.0126689999999998</v>
      </c>
      <c r="W15" s="2"/>
    </row>
    <row r="16" spans="1:24" ht="15.75" customHeight="1" x14ac:dyDescent="0.2">
      <c r="A16" s="78"/>
      <c r="B16" s="201" t="s">
        <v>465</v>
      </c>
      <c r="C16" s="182"/>
      <c r="D16" s="77"/>
      <c r="E16" s="216"/>
      <c r="F16" s="216"/>
      <c r="G16" s="77"/>
      <c r="H16" s="157" t="str">
        <f>HLOOKUP(Jezik!$B$6,Jezik!$E$4:'Jezik'!$N$29,1+19)</f>
        <v>Izvor nesigurnosti=</v>
      </c>
      <c r="I16" s="73"/>
      <c r="J16" s="191"/>
      <c r="K16" s="77"/>
      <c r="N16" t="str">
        <f t="shared" si="0"/>
        <v>Lp,A,eqT,10</v>
      </c>
      <c r="O16">
        <f t="shared" si="1"/>
        <v>0</v>
      </c>
      <c r="P16" t="str">
        <f t="shared" si="2"/>
        <v/>
      </c>
      <c r="R16" t="s">
        <v>31</v>
      </c>
      <c r="S16" s="1"/>
      <c r="T16" s="16">
        <f>X16*T10/SQRT(T11-1)</f>
        <v>11.622725789760199</v>
      </c>
      <c r="U16" s="2" t="s">
        <v>22</v>
      </c>
      <c r="V16">
        <v>0.21978875</v>
      </c>
      <c r="W16" s="2" t="s">
        <v>23</v>
      </c>
      <c r="X16">
        <f>1.645+V10/(T11-2)+X14</f>
        <v>4.788899412530947</v>
      </c>
    </row>
    <row r="17" spans="1:23" ht="15.75" customHeight="1" thickBot="1" x14ac:dyDescent="0.25">
      <c r="A17" s="78"/>
      <c r="B17" s="201" t="s">
        <v>466</v>
      </c>
      <c r="C17" s="182"/>
      <c r="D17" s="77"/>
      <c r="E17" s="179" t="s">
        <v>275</v>
      </c>
      <c r="F17" s="184">
        <v>1.5</v>
      </c>
      <c r="G17" s="77"/>
      <c r="H17" s="157" t="str">
        <f>HLOOKUP(Jezik!$B$6,Jezik!$E$4:'Jezik'!$N$29,1+20)</f>
        <v>1) Nivoi buke</v>
      </c>
      <c r="I17" s="178" t="s">
        <v>268</v>
      </c>
      <c r="J17" s="119">
        <f>J13^2</f>
        <v>50.225964747158265</v>
      </c>
      <c r="K17" s="77"/>
      <c r="N17" t="str">
        <f t="shared" si="0"/>
        <v>Lp,A,eqT,11</v>
      </c>
      <c r="O17">
        <f t="shared" si="1"/>
        <v>0</v>
      </c>
      <c r="P17" t="str">
        <f t="shared" si="2"/>
        <v/>
      </c>
      <c r="R17" s="1" t="s">
        <v>34</v>
      </c>
      <c r="S17" s="1"/>
      <c r="U17" s="2" t="s">
        <v>24</v>
      </c>
      <c r="V17">
        <v>0.41575588000000002</v>
      </c>
      <c r="W17" s="2"/>
    </row>
    <row r="18" spans="1:23" ht="15.75" customHeight="1" x14ac:dyDescent="0.2">
      <c r="A18" s="78"/>
      <c r="B18" s="201" t="s">
        <v>467</v>
      </c>
      <c r="C18" s="182"/>
      <c r="D18" s="77"/>
      <c r="E18" s="78" t="str">
        <f>IF(OR(F17=0.7,F17=1.5),"","!!!  u2 = 0,7 or 1,5")</f>
        <v/>
      </c>
      <c r="F18" s="91"/>
      <c r="G18" s="77"/>
      <c r="H18" s="157" t="str">
        <f>HLOOKUP(Jezik!$B$6,Jezik!$E$4:'Jezik'!$N$29,1+21)</f>
        <v>2) Instrumentacija Q2</v>
      </c>
      <c r="I18" s="178" t="s">
        <v>269</v>
      </c>
      <c r="J18" s="190">
        <f>F17^2</f>
        <v>2.25</v>
      </c>
      <c r="K18" s="77"/>
      <c r="N18" t="str">
        <f t="shared" si="0"/>
        <v>Lp,A,eqT,12</v>
      </c>
      <c r="O18">
        <f t="shared" si="1"/>
        <v>0</v>
      </c>
      <c r="P18" t="str">
        <f t="shared" si="2"/>
        <v/>
      </c>
      <c r="R18" s="24" t="s">
        <v>30</v>
      </c>
      <c r="S18" s="25"/>
      <c r="T18" s="26"/>
      <c r="U18" s="2" t="s">
        <v>25</v>
      </c>
      <c r="V18">
        <v>0.29258276</v>
      </c>
      <c r="W18" s="2"/>
    </row>
    <row r="19" spans="1:23" ht="15.75" customHeight="1" thickBot="1" x14ac:dyDescent="0.25">
      <c r="A19" s="78"/>
      <c r="B19" s="201" t="s">
        <v>468</v>
      </c>
      <c r="C19" s="182"/>
      <c r="D19" s="77"/>
      <c r="E19" s="78"/>
      <c r="F19" s="91"/>
      <c r="G19" s="77"/>
      <c r="H19" s="157" t="str">
        <f>HLOOKUP(Jezik!$B$6,Jezik!$E$4:'Jezik'!$N$29,1+22)</f>
        <v>3) Pozicija mikrofona Q3</v>
      </c>
      <c r="I19" s="178" t="s">
        <v>270</v>
      </c>
      <c r="J19" s="88">
        <f>F23^2</f>
        <v>1</v>
      </c>
      <c r="K19" s="77"/>
      <c r="N19" t="str">
        <f t="shared" si="0"/>
        <v>Lp,A,eqT,13</v>
      </c>
      <c r="O19">
        <f t="shared" si="1"/>
        <v>0</v>
      </c>
      <c r="P19" t="str">
        <f t="shared" si="2"/>
        <v/>
      </c>
      <c r="R19" s="28" t="s">
        <v>32</v>
      </c>
      <c r="S19" s="29"/>
      <c r="T19" s="27">
        <f>T16/1.64</f>
        <v>7.0870279205854878</v>
      </c>
    </row>
    <row r="20" spans="1:23" ht="15.75" customHeight="1" x14ac:dyDescent="0.2">
      <c r="A20" s="78"/>
      <c r="B20" s="201" t="s">
        <v>469</v>
      </c>
      <c r="C20" s="182"/>
      <c r="D20" s="77"/>
      <c r="E20" s="215" t="str">
        <f>HLOOKUP(Jezik!$B$6,Jezik!$E$4:'Jezik'!$N$29,1+11)</f>
        <v xml:space="preserve">Standardna nesigurnost zbog nesavršenog izbora merne pozicije </v>
      </c>
      <c r="F20" s="216"/>
      <c r="G20" s="77"/>
      <c r="H20" s="73"/>
      <c r="I20" s="73"/>
      <c r="J20" s="73"/>
      <c r="K20" s="77"/>
      <c r="N20" t="str">
        <f t="shared" si="0"/>
        <v>Lp,A,eqT,14</v>
      </c>
      <c r="O20">
        <f t="shared" si="1"/>
        <v>0</v>
      </c>
      <c r="P20" t="str">
        <f t="shared" si="2"/>
        <v/>
      </c>
    </row>
    <row r="21" spans="1:23" ht="15.75" customHeight="1" x14ac:dyDescent="0.2">
      <c r="A21" s="78"/>
      <c r="B21" s="201" t="s">
        <v>470</v>
      </c>
      <c r="C21" s="182"/>
      <c r="D21" s="77"/>
      <c r="E21" s="216"/>
      <c r="F21" s="216"/>
      <c r="G21" s="77"/>
      <c r="H21" s="178" t="str">
        <f>HLOOKUP(Jezik!$B$6,Jezik!$E$4:'Jezik'!$N$29,1+23)</f>
        <v>Suma (C.9)</v>
      </c>
      <c r="I21" s="178" t="s">
        <v>273</v>
      </c>
      <c r="J21" s="190">
        <f>SUM(J17:J19)</f>
        <v>53.475964747158265</v>
      </c>
      <c r="K21" s="77"/>
      <c r="N21" t="str">
        <f t="shared" si="0"/>
        <v>Lp,A,eqT,15</v>
      </c>
      <c r="O21">
        <f t="shared" si="1"/>
        <v>0</v>
      </c>
      <c r="P21" t="str">
        <f t="shared" si="2"/>
        <v/>
      </c>
    </row>
    <row r="22" spans="1:23" ht="15.75" customHeight="1" x14ac:dyDescent="0.2">
      <c r="A22" s="78"/>
      <c r="B22" s="201" t="s">
        <v>471</v>
      </c>
      <c r="C22" s="182"/>
      <c r="D22" s="77"/>
      <c r="E22" s="216"/>
      <c r="F22" s="216"/>
      <c r="G22" s="77"/>
      <c r="H22" s="73"/>
      <c r="I22" s="178" t="s">
        <v>274</v>
      </c>
      <c r="J22" s="95">
        <f>SQRT(J21)</f>
        <v>7.3127262185287822</v>
      </c>
      <c r="K22" s="77"/>
      <c r="N22" t="str">
        <f t="shared" si="0"/>
        <v>Lp,A,eqT,16</v>
      </c>
      <c r="O22">
        <f t="shared" si="1"/>
        <v>0</v>
      </c>
      <c r="P22" t="str">
        <f t="shared" si="2"/>
        <v/>
      </c>
    </row>
    <row r="23" spans="1:23" ht="15.75" customHeight="1" thickBot="1" x14ac:dyDescent="0.25">
      <c r="A23" s="78"/>
      <c r="B23" s="201" t="s">
        <v>472</v>
      </c>
      <c r="C23" s="182"/>
      <c r="D23" s="77"/>
      <c r="E23" s="179" t="s">
        <v>276</v>
      </c>
      <c r="F23" s="83">
        <v>1</v>
      </c>
      <c r="G23" s="77"/>
      <c r="H23" s="178"/>
      <c r="I23" s="73"/>
      <c r="J23" s="73"/>
      <c r="K23" s="77"/>
      <c r="N23" t="str">
        <f t="shared" si="0"/>
        <v>Lp,A,eqT,17</v>
      </c>
      <c r="O23">
        <f t="shared" si="1"/>
        <v>0</v>
      </c>
      <c r="P23" t="str">
        <f t="shared" si="2"/>
        <v/>
      </c>
    </row>
    <row r="24" spans="1:23" ht="15.75" customHeight="1" thickBot="1" x14ac:dyDescent="0.4">
      <c r="A24" s="78"/>
      <c r="B24" s="201" t="s">
        <v>473</v>
      </c>
      <c r="C24" s="182"/>
      <c r="D24" s="77"/>
      <c r="E24" s="78"/>
      <c r="F24" s="77"/>
      <c r="G24" s="77"/>
      <c r="H24" s="12" t="s">
        <v>496</v>
      </c>
      <c r="I24" s="12"/>
      <c r="J24" s="193">
        <f>J22*1.65</f>
        <v>12.06599826057249</v>
      </c>
      <c r="K24" s="77"/>
      <c r="N24" t="str">
        <f t="shared" si="0"/>
        <v>Lp,A,eqT,18</v>
      </c>
      <c r="O24">
        <f t="shared" si="1"/>
        <v>0</v>
      </c>
      <c r="P24" t="str">
        <f t="shared" si="2"/>
        <v/>
      </c>
    </row>
    <row r="25" spans="1:23" ht="15.75" customHeight="1" x14ac:dyDescent="0.2">
      <c r="A25" s="78"/>
      <c r="B25" s="201" t="s">
        <v>455</v>
      </c>
      <c r="C25" s="182"/>
      <c r="D25" s="77"/>
      <c r="E25" s="78"/>
      <c r="F25" s="77"/>
      <c r="G25" s="77"/>
      <c r="H25" s="73"/>
      <c r="I25" s="73"/>
      <c r="J25" s="73"/>
      <c r="K25" s="77"/>
      <c r="N25" t="str">
        <f t="shared" si="0"/>
        <v>Lp,A,eqT,19</v>
      </c>
      <c r="O25">
        <f t="shared" si="1"/>
        <v>0</v>
      </c>
      <c r="P25" t="str">
        <f t="shared" si="2"/>
        <v/>
      </c>
    </row>
    <row r="26" spans="1:23" ht="15.75" customHeight="1" x14ac:dyDescent="0.2">
      <c r="A26" s="78"/>
      <c r="B26" s="202" t="s">
        <v>454</v>
      </c>
      <c r="C26" s="185"/>
      <c r="D26" s="77"/>
      <c r="E26" s="78"/>
      <c r="F26" s="77"/>
      <c r="G26" s="77"/>
      <c r="H26" s="77"/>
      <c r="I26" s="73"/>
      <c r="J26" s="73"/>
      <c r="K26" s="77"/>
      <c r="N26" t="str">
        <f t="shared" si="0"/>
        <v>Lp,A,eqT,20</v>
      </c>
      <c r="O26">
        <f t="shared" si="1"/>
        <v>0</v>
      </c>
      <c r="P26" t="str">
        <f t="shared" si="2"/>
        <v/>
      </c>
    </row>
    <row r="27" spans="1:23" ht="13.5" customHeight="1" thickBot="1" x14ac:dyDescent="0.25">
      <c r="A27" s="211" t="str">
        <f>HLOOKUP(Jezik!$B$6,Jezik!$E$4:'Jezik'!$N$29,1+5)</f>
        <v>Broj izmerenih vrednosti</v>
      </c>
      <c r="B27" s="73"/>
      <c r="C27" s="91"/>
      <c r="D27" s="77"/>
      <c r="E27" s="78"/>
      <c r="F27" s="77"/>
      <c r="G27" s="77"/>
      <c r="H27" s="77"/>
      <c r="I27" s="73"/>
      <c r="J27" s="73"/>
      <c r="K27" s="77"/>
    </row>
    <row r="28" spans="1:23" ht="13.5" customHeight="1" thickBot="1" x14ac:dyDescent="0.25">
      <c r="A28" s="212"/>
      <c r="B28" s="186" t="s">
        <v>5</v>
      </c>
      <c r="C28" s="83">
        <f>COUNT(C7:C26)</f>
        <v>7</v>
      </c>
      <c r="D28" s="77"/>
      <c r="E28" s="78"/>
      <c r="F28" s="76" t="str">
        <f>HLOOKUP(Jezik!$B$6,Jezik!$E$4:'Jezik'!$N$29,1+24)</f>
        <v>Dnevni nivo izloženosti buci</v>
      </c>
      <c r="H28" s="77"/>
      <c r="I28" s="73"/>
      <c r="J28" s="108">
        <f>J7</f>
        <v>95.096389308177834</v>
      </c>
      <c r="K28" s="80" t="s">
        <v>58</v>
      </c>
      <c r="N28" t="str">
        <f t="shared" si="0"/>
        <v>N =</v>
      </c>
      <c r="O28">
        <f t="shared" si="1"/>
        <v>7</v>
      </c>
      <c r="P28" s="10">
        <f>IF(C28=0,"",AVERAGE(P7:P26))</f>
        <v>34.48797177493698</v>
      </c>
    </row>
    <row r="29" spans="1:23" ht="13.5" customHeight="1" thickBot="1" x14ac:dyDescent="0.25">
      <c r="A29" s="212"/>
      <c r="B29" s="73"/>
      <c r="C29" s="77"/>
      <c r="D29" s="77"/>
      <c r="E29" s="78"/>
      <c r="F29" s="76" t="str">
        <f>HLOOKUP(Jezik!$B$6,Jezik!$E$4:'Jezik'!$N$29,1+25)</f>
        <v>Proširena nesigurnost</v>
      </c>
      <c r="H29" s="77"/>
      <c r="I29" s="73"/>
      <c r="J29" s="108">
        <f>J24</f>
        <v>12.06599826057249</v>
      </c>
      <c r="K29" s="80" t="s">
        <v>58</v>
      </c>
      <c r="N29" t="s">
        <v>3</v>
      </c>
      <c r="P29" s="10">
        <f>IF(C28=0,"",10*(8+LOG(P28)))</f>
        <v>95.37667654418027</v>
      </c>
    </row>
    <row r="30" spans="1:23" ht="13.5" customHeight="1" x14ac:dyDescent="0.2">
      <c r="A30" s="78"/>
      <c r="B30" s="73"/>
      <c r="C30" s="77"/>
      <c r="D30" s="77"/>
      <c r="E30" s="78"/>
      <c r="F30" s="77"/>
      <c r="G30" s="77"/>
      <c r="H30" s="77"/>
      <c r="I30" s="73"/>
      <c r="J30" s="77"/>
      <c r="K30" s="77"/>
      <c r="N30" t="s">
        <v>1</v>
      </c>
      <c r="P30" s="10">
        <f>IF(C28=0,"",10*(8+LOG(F11/F7*P28)))</f>
        <v>95.096389308177834</v>
      </c>
    </row>
    <row r="31" spans="1:23" ht="13.5" customHeight="1" x14ac:dyDescent="0.2">
      <c r="A31" s="78"/>
      <c r="B31" s="73"/>
      <c r="C31" s="77"/>
      <c r="D31" s="77"/>
      <c r="E31" s="78"/>
      <c r="F31" s="77"/>
      <c r="G31" s="77"/>
      <c r="H31" s="77"/>
      <c r="I31" s="73"/>
      <c r="J31" s="77"/>
      <c r="K31" s="77"/>
    </row>
    <row r="32" spans="1:23" ht="13.5" customHeight="1" x14ac:dyDescent="0.2">
      <c r="A32" s="78"/>
      <c r="B32" s="73"/>
      <c r="C32" s="77"/>
      <c r="D32" s="77"/>
      <c r="E32" s="78"/>
      <c r="F32" s="77"/>
      <c r="G32" s="77"/>
      <c r="H32" s="77"/>
      <c r="I32" s="73"/>
      <c r="J32" s="77"/>
      <c r="K32" s="77"/>
    </row>
    <row r="33" spans="1:11" x14ac:dyDescent="0.2">
      <c r="A33" s="78"/>
      <c r="B33" s="73"/>
      <c r="C33" s="77"/>
      <c r="D33" s="77"/>
      <c r="E33" s="78"/>
      <c r="F33" s="77"/>
      <c r="G33" s="77"/>
      <c r="H33" s="77"/>
      <c r="I33" s="73"/>
      <c r="J33" s="77"/>
      <c r="K33" s="77"/>
    </row>
  </sheetData>
  <mergeCells count="7">
    <mergeCell ref="A4:E4"/>
    <mergeCell ref="A27:A29"/>
    <mergeCell ref="B6:C6"/>
    <mergeCell ref="E9:F10"/>
    <mergeCell ref="E14:F16"/>
    <mergeCell ref="E20:F22"/>
    <mergeCell ref="A6:A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37"/>
  <sheetViews>
    <sheetView showGridLines="0" workbookViewId="0">
      <selection activeCell="AG23" sqref="AG23"/>
    </sheetView>
  </sheetViews>
  <sheetFormatPr defaultColWidth="11.42578125" defaultRowHeight="12.75" x14ac:dyDescent="0.2"/>
  <cols>
    <col min="1" max="1" width="0.85546875" customWidth="1"/>
    <col min="2" max="2" width="16.85546875" customWidth="1"/>
    <col min="3" max="3" width="1.42578125" customWidth="1"/>
    <col min="4" max="4" width="10.5703125" customWidth="1"/>
    <col min="5" max="18" width="7.7109375" customWidth="1"/>
    <col min="19" max="19" width="9.42578125" customWidth="1"/>
    <col min="20" max="20" width="7.7109375" customWidth="1"/>
    <col min="21" max="30" width="11.42578125" hidden="1" customWidth="1"/>
    <col min="31" max="31" width="11.42578125" customWidth="1"/>
  </cols>
  <sheetData>
    <row r="1" spans="2:28" ht="24.75" customHeight="1" x14ac:dyDescent="0.2">
      <c r="B1" s="74" t="s">
        <v>0</v>
      </c>
      <c r="C1" s="74"/>
      <c r="D1" s="74" t="str">
        <f>'Posao ili Ceo dan'!B1</f>
        <v>Ocena mernih nesigurnosti (Dodatak C)</v>
      </c>
      <c r="E1" s="75"/>
      <c r="F1" s="75"/>
      <c r="G1" s="75"/>
      <c r="H1" s="75"/>
      <c r="I1" s="75"/>
      <c r="J1" s="75"/>
      <c r="K1" s="75"/>
      <c r="L1" s="74" t="str">
        <f>HLOOKUP(Jezik!$B$6,Jezik!$E$31:'Jezik'!$N$87,1+1)</f>
        <v>Merenje zasnovano na zadatku</v>
      </c>
      <c r="M1" s="75"/>
      <c r="N1" s="75"/>
    </row>
    <row r="2" spans="2:28" ht="15" x14ac:dyDescent="0.2">
      <c r="B2" s="144" t="str">
        <f>HLOOKUP(Jezik!$B$6,Jezik!$E$31:'Jezik'!$N$87,1+2)</f>
        <v>Podaci</v>
      </c>
      <c r="C2" s="220" t="str">
        <f>HLOOKUP(Jezik!$B$6,Jezik!$E$31:'Jezik'!$N$87,1+ 3)</f>
        <v>Za svaki zadatak:</v>
      </c>
      <c r="D2" s="221"/>
      <c r="E2" s="145" t="str">
        <f>HLOOKUP(Jezik!$B$6,Jezik!$E$31:'Jezik'!$N$87,1+ 4)</f>
        <v>Koristi žute ćelije</v>
      </c>
      <c r="F2" s="39"/>
      <c r="G2" s="130" t="str">
        <f>HLOOKUP(Jezik!$B$6,Jezik!$E$31:'Jezik'!$N$87,1+ 7)</f>
        <v>za unošenje izmerenih vrednosti Lp,A,eqT,mi i (ako je potrebno) imena zadatka</v>
      </c>
      <c r="H2" s="6"/>
    </row>
    <row r="3" spans="2:28" x14ac:dyDescent="0.2">
      <c r="C3" s="221"/>
      <c r="D3" s="221"/>
      <c r="E3" s="146" t="str">
        <f>HLOOKUP(Jezik!$B$6,Jezik!$E$31:'Jezik'!$N$87,1+ 5)</f>
        <v>Koristi zelene ćelije</v>
      </c>
      <c r="F3" s="38"/>
      <c r="G3" s="130" t="str">
        <f>HLOOKUP(Jezik!$B$6,Jezik!$E$31:'Jezik'!$N$87,1+ 8)</f>
        <v>za unošenje dnevnog trajanja, u časovima npr : 7,5 za 7 h 30 min); naznačiti, barem, jednu vrednos</v>
      </c>
      <c r="H3" s="6"/>
    </row>
    <row r="4" spans="2:28" x14ac:dyDescent="0.2">
      <c r="E4" s="147" t="str">
        <f>HLOOKUP(Jezik!$B$6,Jezik!$E$31:'Jezik'!$N$87,1+ 6)</f>
        <v>Koristi ljubičaste ćelije</v>
      </c>
      <c r="F4" s="72"/>
      <c r="G4" s="130" t="str">
        <f>HLOOKUP(Jezik!$B$6,Jezik!$E$31:'Jezik'!$N$87,1+ 9)</f>
        <v>za unošenje u2, nesigurnosti zbog merne instrumentacije (vidi Dodatak C, Tabela C.5: u2=0,7 ili 1,5 dB)</v>
      </c>
    </row>
    <row r="5" spans="2:28" ht="7.5" customHeight="1" thickBot="1" x14ac:dyDescent="0.25"/>
    <row r="6" spans="2:28" ht="13.5" thickBot="1" x14ac:dyDescent="0.25">
      <c r="D6" s="40"/>
      <c r="E6" s="222" t="str">
        <f>HLOOKUP(Jezik!$B$6,Jezik!$E$31:'Jezik'!$N$87,1+ 10)</f>
        <v>Zadatak 1</v>
      </c>
      <c r="F6" s="219"/>
      <c r="G6" s="218" t="str">
        <f>HLOOKUP(Jezik!$B$6,Jezik!$E$31:'Jezik'!$N$87,1+ 11)</f>
        <v>Zadatak 2</v>
      </c>
      <c r="H6" s="219"/>
      <c r="I6" s="218" t="str">
        <f>HLOOKUP(Jezik!$B$6,Jezik!$E$31:'Jezik'!$N$87,1+ 12)</f>
        <v>Zadatak 3</v>
      </c>
      <c r="J6" s="219"/>
      <c r="K6" s="218" t="str">
        <f>HLOOKUP(Jezik!$B$6,Jezik!$E$31:'Jezik'!$N$87,1+ 13)</f>
        <v>Zadatak 4</v>
      </c>
      <c r="L6" s="219"/>
      <c r="M6" s="218" t="str">
        <f>HLOOKUP(Jezik!$B$6,Jezik!$E$31:'Jezik'!$N$87,1+ 14)</f>
        <v>Zadatak 5</v>
      </c>
      <c r="N6" s="219"/>
      <c r="O6" s="218" t="str">
        <f>HLOOKUP(Jezik!$B$6,Jezik!$E$31:'Jezik'!$N$87,1+ 15)</f>
        <v>Zadatak 6</v>
      </c>
      <c r="P6" s="219"/>
      <c r="Q6" s="218" t="str">
        <f>HLOOKUP(Jezik!$B$6,Jezik!$E$31:'Jezik'!$N$87,1+ 16)</f>
        <v>Zadatak 7</v>
      </c>
      <c r="R6" s="219"/>
    </row>
    <row r="7" spans="2:28" ht="28.5" customHeight="1" thickBot="1" x14ac:dyDescent="0.25">
      <c r="D7" s="150" t="str">
        <f>HLOOKUP(Jezik!$B$6,Jezik!$E$31:'Jezik'!$N$87,1+ 17)</f>
        <v>Ime zadatka</v>
      </c>
      <c r="E7" s="227" t="s">
        <v>623</v>
      </c>
      <c r="F7" s="224"/>
      <c r="G7" s="223" t="s">
        <v>624</v>
      </c>
      <c r="H7" s="224"/>
      <c r="I7" s="223" t="s">
        <v>625</v>
      </c>
      <c r="J7" s="228"/>
      <c r="K7" s="249" t="s">
        <v>622</v>
      </c>
      <c r="L7" s="250"/>
      <c r="M7" s="223"/>
      <c r="N7" s="224"/>
      <c r="O7" s="223"/>
      <c r="P7" s="224"/>
      <c r="Q7" s="223"/>
      <c r="R7" s="224"/>
    </row>
    <row r="8" spans="2:28" ht="42" customHeight="1" x14ac:dyDescent="0.2">
      <c r="B8" s="233" t="str">
        <f>HLOOKUP(Jezik!$B$6,Jezik!$E$31:'Jezik'!$N$87,1+ 22)</f>
        <v>Rezultati dobijeni na osnovu unošenja podataka</v>
      </c>
      <c r="D8" s="151" t="str">
        <f>HLOOKUP(Jezik!$B$6,Jezik!$E$31:'Jezik'!$N$87,1+ 18)</f>
        <v>Broj uzorka</v>
      </c>
      <c r="E8" s="196" t="str">
        <f>HLOOKUP(Jezik!$B$6,Jezik!$E$31:'Jezik'!$N$87,1+ 19)</f>
        <v>Nivoi buke (dB)</v>
      </c>
      <c r="F8" s="155" t="str">
        <f>HLOOKUP(Jezik!$B$6,Jezik!$E$31:'Jezik'!$N$87,1+ 20)</f>
        <v>Trajanje zadatka (h)</v>
      </c>
      <c r="G8" s="33" t="str">
        <f>$E$8</f>
        <v>Nivoi buke (dB)</v>
      </c>
      <c r="H8" s="32" t="str">
        <f>$F$8</f>
        <v>Trajanje zadatka (h)</v>
      </c>
      <c r="I8" s="33" t="str">
        <f>$E$8</f>
        <v>Nivoi buke (dB)</v>
      </c>
      <c r="J8" s="32" t="str">
        <f>$F$8</f>
        <v>Trajanje zadatka (h)</v>
      </c>
      <c r="K8" s="33" t="str">
        <f>$E$8</f>
        <v>Nivoi buke (dB)</v>
      </c>
      <c r="L8" s="32" t="str">
        <f>$F$8</f>
        <v>Trajanje zadatka (h)</v>
      </c>
      <c r="M8" s="33" t="str">
        <f>$E$8</f>
        <v>Nivoi buke (dB)</v>
      </c>
      <c r="N8" s="32" t="str">
        <f>$F$8</f>
        <v>Trajanje zadatka (h)</v>
      </c>
      <c r="O8" s="33" t="str">
        <f>$E$8</f>
        <v>Nivoi buke (dB)</v>
      </c>
      <c r="P8" s="32" t="str">
        <f>$F$8</f>
        <v>Trajanje zadatka (h)</v>
      </c>
      <c r="Q8" s="33" t="str">
        <f>$E$8</f>
        <v>Nivoi buke (dB)</v>
      </c>
      <c r="R8" s="154" t="str">
        <f>$F$8</f>
        <v>Trajanje zadatka (h)</v>
      </c>
      <c r="V8" s="2" t="s">
        <v>60</v>
      </c>
      <c r="W8" s="2" t="s">
        <v>61</v>
      </c>
      <c r="X8" s="2" t="s">
        <v>62</v>
      </c>
      <c r="Y8" s="2" t="s">
        <v>63</v>
      </c>
      <c r="Z8" s="2" t="s">
        <v>64</v>
      </c>
      <c r="AA8" s="2" t="s">
        <v>65</v>
      </c>
      <c r="AB8" s="2" t="s">
        <v>66</v>
      </c>
    </row>
    <row r="9" spans="2:28" ht="12.75" customHeight="1" x14ac:dyDescent="0.2">
      <c r="B9" s="234"/>
      <c r="C9" s="2"/>
      <c r="D9" s="36">
        <v>1</v>
      </c>
      <c r="E9" s="148"/>
      <c r="F9" s="43">
        <v>0.9</v>
      </c>
      <c r="G9" s="51"/>
      <c r="H9" s="52">
        <v>2.1</v>
      </c>
      <c r="I9" s="42"/>
      <c r="J9" s="43">
        <v>3</v>
      </c>
      <c r="K9" s="98">
        <v>60</v>
      </c>
      <c r="L9" s="99">
        <v>2</v>
      </c>
      <c r="M9" s="100"/>
      <c r="N9" s="54"/>
      <c r="O9" s="55"/>
      <c r="P9" s="53"/>
      <c r="Q9" s="42"/>
      <c r="R9" s="54"/>
      <c r="U9" s="2">
        <v>1</v>
      </c>
      <c r="V9" s="35" t="str">
        <f>IF(E9&gt;0,10^(E9/10-8),"")</f>
        <v/>
      </c>
      <c r="W9" s="35" t="str">
        <f t="shared" ref="W9:W23" si="0">IF(G9&gt;0,10^(G9/10-8),"")</f>
        <v/>
      </c>
      <c r="X9" s="35" t="str">
        <f t="shared" ref="X9:X23" si="1">IF(I9&gt;0,10^(I9/10-8),"")</f>
        <v/>
      </c>
      <c r="Y9" s="35">
        <f t="shared" ref="Y9:Y23" si="2">IF(K9&gt;0,10^(K9/10-8),"")</f>
        <v>0.01</v>
      </c>
      <c r="Z9" s="35" t="str">
        <f t="shared" ref="Z9:Z23" si="3">IF(M9&gt;0,10^(M9/10-8),"")</f>
        <v/>
      </c>
      <c r="AA9" s="35" t="str">
        <f t="shared" ref="AA9:AA23" si="4">IF(O9&gt;0,10^(O9/10-8),"")</f>
        <v/>
      </c>
      <c r="AB9" s="47" t="str">
        <f t="shared" ref="AB9:AB23" si="5">IF(Q9&gt;0,10^(Q9/10-8),"")</f>
        <v/>
      </c>
    </row>
    <row r="10" spans="2:28" ht="12.75" customHeight="1" x14ac:dyDescent="0.2">
      <c r="B10" s="36"/>
      <c r="C10" s="2"/>
      <c r="D10" s="36">
        <v>2</v>
      </c>
      <c r="E10" s="148"/>
      <c r="F10" s="44">
        <v>1.1000000000000001</v>
      </c>
      <c r="G10" s="55"/>
      <c r="H10" s="52">
        <v>2</v>
      </c>
      <c r="I10" s="42"/>
      <c r="J10" s="44">
        <v>2.9</v>
      </c>
      <c r="K10" s="42">
        <v>60</v>
      </c>
      <c r="L10" s="54">
        <v>2</v>
      </c>
      <c r="M10" s="101"/>
      <c r="N10" s="54"/>
      <c r="O10" s="55"/>
      <c r="P10" s="53"/>
      <c r="Q10" s="42"/>
      <c r="R10" s="54"/>
      <c r="U10" s="2">
        <v>2</v>
      </c>
      <c r="V10" s="30" t="str">
        <f t="shared" ref="V10:V23" si="6">IF(E10&gt;0,10^(E10/10-8),"")</f>
        <v/>
      </c>
      <c r="W10" s="30" t="str">
        <f t="shared" si="0"/>
        <v/>
      </c>
      <c r="X10" s="30" t="str">
        <f t="shared" si="1"/>
        <v/>
      </c>
      <c r="Y10" s="30">
        <f t="shared" si="2"/>
        <v>0.01</v>
      </c>
      <c r="Z10" s="30" t="str">
        <f t="shared" si="3"/>
        <v/>
      </c>
      <c r="AA10" s="30" t="str">
        <f t="shared" si="4"/>
        <v/>
      </c>
      <c r="AB10" s="48" t="str">
        <f t="shared" si="5"/>
        <v/>
      </c>
    </row>
    <row r="11" spans="2:28" ht="12.75" customHeight="1" x14ac:dyDescent="0.2">
      <c r="B11" s="152" t="str">
        <f>HLOOKUP(Jezik!$B$6,Jezik!$E$31:'Jezik'!$N$87,1+ 23)</f>
        <v>Dnevni nivo buke</v>
      </c>
      <c r="C11" s="2"/>
      <c r="D11" s="36">
        <v>3</v>
      </c>
      <c r="E11" s="148"/>
      <c r="F11" s="44">
        <v>1</v>
      </c>
      <c r="G11" s="55"/>
      <c r="H11" s="52">
        <v>1.9</v>
      </c>
      <c r="I11" s="42"/>
      <c r="J11" s="44">
        <v>3.1</v>
      </c>
      <c r="K11" s="42">
        <v>60</v>
      </c>
      <c r="L11" s="54">
        <v>2</v>
      </c>
      <c r="M11" s="101"/>
      <c r="N11" s="54"/>
      <c r="O11" s="55"/>
      <c r="P11" s="53"/>
      <c r="Q11" s="42"/>
      <c r="R11" s="54"/>
      <c r="U11" s="2">
        <v>3</v>
      </c>
      <c r="V11" s="30" t="str">
        <f t="shared" si="6"/>
        <v/>
      </c>
      <c r="W11" s="30" t="str">
        <f t="shared" si="0"/>
        <v/>
      </c>
      <c r="X11" s="30" t="str">
        <f t="shared" si="1"/>
        <v/>
      </c>
      <c r="Y11" s="30">
        <f t="shared" si="2"/>
        <v>0.01</v>
      </c>
      <c r="Z11" s="30" t="str">
        <f t="shared" si="3"/>
        <v/>
      </c>
      <c r="AA11" s="30" t="str">
        <f t="shared" si="4"/>
        <v/>
      </c>
      <c r="AB11" s="48" t="str">
        <f t="shared" si="5"/>
        <v/>
      </c>
    </row>
    <row r="12" spans="2:28" ht="12.75" customHeight="1" x14ac:dyDescent="0.2">
      <c r="B12" s="197"/>
      <c r="C12" s="2"/>
      <c r="D12" s="36">
        <v>4</v>
      </c>
      <c r="E12" s="148"/>
      <c r="F12" s="44"/>
      <c r="G12" s="55"/>
      <c r="H12" s="52"/>
      <c r="I12" s="42"/>
      <c r="J12" s="44"/>
      <c r="K12" s="42"/>
      <c r="L12" s="54"/>
      <c r="M12" s="101"/>
      <c r="N12" s="54"/>
      <c r="O12" s="55"/>
      <c r="P12" s="53"/>
      <c r="Q12" s="42"/>
      <c r="R12" s="54"/>
      <c r="U12" s="2">
        <v>4</v>
      </c>
      <c r="V12" s="30" t="str">
        <f t="shared" si="6"/>
        <v/>
      </c>
      <c r="W12" s="30" t="str">
        <f t="shared" si="0"/>
        <v/>
      </c>
      <c r="X12" s="30" t="str">
        <f t="shared" si="1"/>
        <v/>
      </c>
      <c r="Y12" s="30" t="str">
        <f t="shared" si="2"/>
        <v/>
      </c>
      <c r="Z12" s="30" t="str">
        <f t="shared" si="3"/>
        <v/>
      </c>
      <c r="AA12" s="30" t="str">
        <f t="shared" si="4"/>
        <v/>
      </c>
      <c r="AB12" s="48" t="str">
        <f t="shared" si="5"/>
        <v/>
      </c>
    </row>
    <row r="13" spans="2:28" ht="15" customHeight="1" x14ac:dyDescent="0.35">
      <c r="B13" s="203" t="s">
        <v>474</v>
      </c>
      <c r="C13" s="2"/>
      <c r="D13" s="36">
        <v>5</v>
      </c>
      <c r="E13" s="148"/>
      <c r="F13" s="44"/>
      <c r="G13" s="55"/>
      <c r="H13" s="52"/>
      <c r="I13" s="42"/>
      <c r="J13" s="44"/>
      <c r="K13" s="42"/>
      <c r="L13" s="54"/>
      <c r="M13" s="101"/>
      <c r="N13" s="54"/>
      <c r="O13" s="55"/>
      <c r="P13" s="53"/>
      <c r="Q13" s="42"/>
      <c r="R13" s="54"/>
      <c r="U13" s="2">
        <v>5</v>
      </c>
      <c r="V13" s="30" t="str">
        <f t="shared" si="6"/>
        <v/>
      </c>
      <c r="W13" s="30" t="str">
        <f t="shared" si="0"/>
        <v/>
      </c>
      <c r="X13" s="30" t="str">
        <f t="shared" si="1"/>
        <v/>
      </c>
      <c r="Y13" s="30" t="str">
        <f t="shared" si="2"/>
        <v/>
      </c>
      <c r="Z13" s="30" t="str">
        <f t="shared" si="3"/>
        <v/>
      </c>
      <c r="AA13" s="30" t="str">
        <f t="shared" si="4"/>
        <v/>
      </c>
      <c r="AB13" s="48" t="str">
        <f t="shared" si="5"/>
        <v/>
      </c>
    </row>
    <row r="14" spans="2:28" ht="12.75" customHeight="1" x14ac:dyDescent="0.2">
      <c r="B14" s="23">
        <f>IF(AC29=0,"",10*(8+LOG(AC29)))</f>
        <v>53.979400086720375</v>
      </c>
      <c r="C14" s="2"/>
      <c r="D14" s="36">
        <v>6</v>
      </c>
      <c r="E14" s="148"/>
      <c r="F14" s="44"/>
      <c r="G14" s="55"/>
      <c r="H14" s="52"/>
      <c r="I14" s="42"/>
      <c r="J14" s="44"/>
      <c r="K14" s="42"/>
      <c r="L14" s="54"/>
      <c r="M14" s="101"/>
      <c r="N14" s="54"/>
      <c r="O14" s="55"/>
      <c r="P14" s="53"/>
      <c r="Q14" s="42"/>
      <c r="R14" s="54"/>
      <c r="U14" s="2">
        <v>6</v>
      </c>
      <c r="V14" s="30" t="str">
        <f t="shared" si="6"/>
        <v/>
      </c>
      <c r="W14" s="30" t="str">
        <f t="shared" si="0"/>
        <v/>
      </c>
      <c r="X14" s="30" t="str">
        <f t="shared" si="1"/>
        <v/>
      </c>
      <c r="Y14" s="30" t="str">
        <f t="shared" si="2"/>
        <v/>
      </c>
      <c r="Z14" s="30" t="str">
        <f t="shared" si="3"/>
        <v/>
      </c>
      <c r="AA14" s="30" t="str">
        <f t="shared" si="4"/>
        <v/>
      </c>
      <c r="AB14" s="48" t="str">
        <f t="shared" si="5"/>
        <v/>
      </c>
    </row>
    <row r="15" spans="2:28" ht="12.75" customHeight="1" x14ac:dyDescent="0.2">
      <c r="B15" s="197"/>
      <c r="C15" s="2"/>
      <c r="D15" s="36">
        <v>7</v>
      </c>
      <c r="E15" s="148"/>
      <c r="F15" s="44"/>
      <c r="G15" s="55"/>
      <c r="H15" s="52"/>
      <c r="I15" s="42"/>
      <c r="J15" s="44"/>
      <c r="K15" s="42"/>
      <c r="L15" s="54"/>
      <c r="M15" s="101"/>
      <c r="N15" s="54"/>
      <c r="O15" s="55"/>
      <c r="P15" s="53"/>
      <c r="Q15" s="42"/>
      <c r="R15" s="54"/>
      <c r="U15" s="2">
        <v>7</v>
      </c>
      <c r="V15" s="30" t="str">
        <f t="shared" si="6"/>
        <v/>
      </c>
      <c r="W15" s="30" t="str">
        <f t="shared" si="0"/>
        <v/>
      </c>
      <c r="X15" s="30" t="str">
        <f t="shared" si="1"/>
        <v/>
      </c>
      <c r="Y15" s="30" t="str">
        <f t="shared" si="2"/>
        <v/>
      </c>
      <c r="Z15" s="30" t="str">
        <f t="shared" si="3"/>
        <v/>
      </c>
      <c r="AA15" s="30" t="str">
        <f t="shared" si="4"/>
        <v/>
      </c>
      <c r="AB15" s="48" t="str">
        <f t="shared" si="5"/>
        <v/>
      </c>
    </row>
    <row r="16" spans="2:28" ht="12.75" customHeight="1" x14ac:dyDescent="0.2">
      <c r="B16" s="197"/>
      <c r="C16" s="2"/>
      <c r="D16" s="36">
        <v>8</v>
      </c>
      <c r="E16" s="148"/>
      <c r="F16" s="44"/>
      <c r="G16" s="55"/>
      <c r="H16" s="52"/>
      <c r="I16" s="42"/>
      <c r="J16" s="44"/>
      <c r="K16" s="42"/>
      <c r="L16" s="54"/>
      <c r="M16" s="101"/>
      <c r="N16" s="54"/>
      <c r="O16" s="55"/>
      <c r="P16" s="53"/>
      <c r="Q16" s="42"/>
      <c r="R16" s="54"/>
      <c r="U16" s="2">
        <v>8</v>
      </c>
      <c r="V16" s="30" t="str">
        <f t="shared" si="6"/>
        <v/>
      </c>
      <c r="W16" s="30" t="str">
        <f t="shared" si="0"/>
        <v/>
      </c>
      <c r="X16" s="30" t="str">
        <f t="shared" si="1"/>
        <v/>
      </c>
      <c r="Y16" s="30" t="str">
        <f t="shared" si="2"/>
        <v/>
      </c>
      <c r="Z16" s="30" t="str">
        <f t="shared" si="3"/>
        <v/>
      </c>
      <c r="AA16" s="30" t="str">
        <f t="shared" si="4"/>
        <v/>
      </c>
      <c r="AB16" s="48" t="str">
        <f t="shared" si="5"/>
        <v/>
      </c>
    </row>
    <row r="17" spans="2:30" ht="12.75" customHeight="1" x14ac:dyDescent="0.2">
      <c r="B17" s="235" t="str">
        <f>HLOOKUP(Jezik!$B$6,Jezik!$E$31:'Jezik'!$N$87,1+ 24)</f>
        <v>Definisani zadaci</v>
      </c>
      <c r="C17" s="2"/>
      <c r="D17" s="36">
        <v>9</v>
      </c>
      <c r="E17" s="148"/>
      <c r="F17" s="44"/>
      <c r="G17" s="55"/>
      <c r="H17" s="52"/>
      <c r="I17" s="42"/>
      <c r="J17" s="44"/>
      <c r="K17" s="42"/>
      <c r="L17" s="54"/>
      <c r="M17" s="101"/>
      <c r="N17" s="54"/>
      <c r="O17" s="55"/>
      <c r="P17" s="53"/>
      <c r="Q17" s="42"/>
      <c r="R17" s="54"/>
      <c r="U17" s="2">
        <v>9</v>
      </c>
      <c r="V17" s="30" t="str">
        <f t="shared" si="6"/>
        <v/>
      </c>
      <c r="W17" s="30" t="str">
        <f t="shared" si="0"/>
        <v/>
      </c>
      <c r="X17" s="30" t="str">
        <f t="shared" si="1"/>
        <v/>
      </c>
      <c r="Y17" s="30" t="str">
        <f t="shared" si="2"/>
        <v/>
      </c>
      <c r="Z17" s="30" t="str">
        <f t="shared" si="3"/>
        <v/>
      </c>
      <c r="AA17" s="30" t="str">
        <f t="shared" si="4"/>
        <v/>
      </c>
      <c r="AB17" s="48" t="str">
        <f t="shared" si="5"/>
        <v/>
      </c>
    </row>
    <row r="18" spans="2:30" ht="12.75" customHeight="1" x14ac:dyDescent="0.2">
      <c r="B18" s="234"/>
      <c r="C18" s="2"/>
      <c r="D18" s="36">
        <v>10</v>
      </c>
      <c r="E18" s="148"/>
      <c r="F18" s="44"/>
      <c r="G18" s="55"/>
      <c r="H18" s="52"/>
      <c r="I18" s="42"/>
      <c r="J18" s="44"/>
      <c r="K18" s="42"/>
      <c r="L18" s="54"/>
      <c r="M18" s="101"/>
      <c r="N18" s="54"/>
      <c r="O18" s="55"/>
      <c r="P18" s="53"/>
      <c r="Q18" s="42"/>
      <c r="R18" s="54"/>
      <c r="U18" s="2">
        <v>10</v>
      </c>
      <c r="V18" s="30" t="str">
        <f t="shared" si="6"/>
        <v/>
      </c>
      <c r="W18" s="30" t="str">
        <f t="shared" si="0"/>
        <v/>
      </c>
      <c r="X18" s="30" t="str">
        <f t="shared" si="1"/>
        <v/>
      </c>
      <c r="Y18" s="30" t="str">
        <f t="shared" si="2"/>
        <v/>
      </c>
      <c r="Z18" s="30" t="str">
        <f t="shared" si="3"/>
        <v/>
      </c>
      <c r="AA18" s="30" t="str">
        <f t="shared" si="4"/>
        <v/>
      </c>
      <c r="AB18" s="48" t="str">
        <f t="shared" si="5"/>
        <v/>
      </c>
    </row>
    <row r="19" spans="2:30" ht="12.75" customHeight="1" x14ac:dyDescent="0.2">
      <c r="B19" s="152" t="str">
        <f>HLOOKUP(Jezik!$B$6,Jezik!$E$31:'Jezik'!$N$87,1+ 25)</f>
        <v>Broj</v>
      </c>
      <c r="C19" s="2"/>
      <c r="D19" s="36">
        <v>11</v>
      </c>
      <c r="E19" s="148"/>
      <c r="F19" s="44"/>
      <c r="G19" s="55"/>
      <c r="H19" s="52"/>
      <c r="I19" s="42"/>
      <c r="J19" s="44"/>
      <c r="K19" s="42"/>
      <c r="L19" s="54"/>
      <c r="M19" s="101"/>
      <c r="N19" s="54"/>
      <c r="O19" s="55"/>
      <c r="P19" s="53"/>
      <c r="Q19" s="42"/>
      <c r="R19" s="54"/>
      <c r="U19" s="2">
        <v>11</v>
      </c>
      <c r="V19" s="30" t="str">
        <f t="shared" si="6"/>
        <v/>
      </c>
      <c r="W19" s="30" t="str">
        <f t="shared" si="0"/>
        <v/>
      </c>
      <c r="X19" s="30" t="str">
        <f t="shared" si="1"/>
        <v/>
      </c>
      <c r="Y19" s="30" t="str">
        <f t="shared" si="2"/>
        <v/>
      </c>
      <c r="Z19" s="30" t="str">
        <f t="shared" si="3"/>
        <v/>
      </c>
      <c r="AA19" s="30" t="str">
        <f t="shared" si="4"/>
        <v/>
      </c>
      <c r="AB19" s="48" t="str">
        <f t="shared" si="5"/>
        <v/>
      </c>
    </row>
    <row r="20" spans="2:30" ht="12.75" customHeight="1" x14ac:dyDescent="0.2">
      <c r="B20" s="66">
        <f>IF(AD29=0,"",AD29)</f>
        <v>1</v>
      </c>
      <c r="C20" s="2"/>
      <c r="D20" s="36">
        <v>12</v>
      </c>
      <c r="E20" s="148"/>
      <c r="F20" s="44"/>
      <c r="G20" s="55"/>
      <c r="H20" s="52"/>
      <c r="I20" s="42"/>
      <c r="J20" s="44"/>
      <c r="K20" s="42"/>
      <c r="L20" s="54"/>
      <c r="M20" s="101"/>
      <c r="N20" s="54"/>
      <c r="O20" s="55"/>
      <c r="P20" s="53"/>
      <c r="Q20" s="42"/>
      <c r="R20" s="54"/>
      <c r="U20" s="2">
        <v>12</v>
      </c>
      <c r="V20" s="30" t="str">
        <f t="shared" si="6"/>
        <v/>
      </c>
      <c r="W20" s="30" t="str">
        <f t="shared" si="0"/>
        <v/>
      </c>
      <c r="X20" s="30" t="str">
        <f t="shared" si="1"/>
        <v/>
      </c>
      <c r="Y20" s="30" t="str">
        <f t="shared" si="2"/>
        <v/>
      </c>
      <c r="Z20" s="30" t="str">
        <f t="shared" si="3"/>
        <v/>
      </c>
      <c r="AA20" s="30" t="str">
        <f t="shared" si="4"/>
        <v/>
      </c>
      <c r="AB20" s="48" t="str">
        <f t="shared" si="5"/>
        <v/>
      </c>
    </row>
    <row r="21" spans="2:30" ht="12.75" customHeight="1" x14ac:dyDescent="0.2">
      <c r="B21" s="236" t="str">
        <f>HLOOKUP(Jezik!$B$6,Jezik!$E$31:'Jezik'!$N$87,1+ 26)</f>
        <v>Ukupno trajanje (h)</v>
      </c>
      <c r="C21" s="2"/>
      <c r="D21" s="36">
        <v>13</v>
      </c>
      <c r="E21" s="148"/>
      <c r="F21" s="44"/>
      <c r="G21" s="55"/>
      <c r="H21" s="52"/>
      <c r="I21" s="42"/>
      <c r="J21" s="44"/>
      <c r="K21" s="42"/>
      <c r="L21" s="54"/>
      <c r="M21" s="101"/>
      <c r="N21" s="54"/>
      <c r="O21" s="55"/>
      <c r="P21" s="53"/>
      <c r="Q21" s="42"/>
      <c r="R21" s="54"/>
      <c r="U21" s="2">
        <v>13</v>
      </c>
      <c r="V21" s="30" t="str">
        <f t="shared" si="6"/>
        <v/>
      </c>
      <c r="W21" s="30" t="str">
        <f t="shared" si="0"/>
        <v/>
      </c>
      <c r="X21" s="30" t="str">
        <f t="shared" si="1"/>
        <v/>
      </c>
      <c r="Y21" s="30" t="str">
        <f t="shared" si="2"/>
        <v/>
      </c>
      <c r="Z21" s="30" t="str">
        <f t="shared" si="3"/>
        <v/>
      </c>
      <c r="AA21" s="30" t="str">
        <f t="shared" si="4"/>
        <v/>
      </c>
      <c r="AB21" s="48" t="str">
        <f t="shared" si="5"/>
        <v/>
      </c>
    </row>
    <row r="22" spans="2:30" ht="12.75" customHeight="1" x14ac:dyDescent="0.2">
      <c r="B22" s="234"/>
      <c r="C22" s="2"/>
      <c r="D22" s="36">
        <v>14</v>
      </c>
      <c r="E22" s="148"/>
      <c r="F22" s="44"/>
      <c r="G22" s="55"/>
      <c r="H22" s="52"/>
      <c r="I22" s="42"/>
      <c r="J22" s="44"/>
      <c r="K22" s="42"/>
      <c r="L22" s="54"/>
      <c r="M22" s="101"/>
      <c r="N22" s="54"/>
      <c r="O22" s="55"/>
      <c r="P22" s="53"/>
      <c r="Q22" s="42"/>
      <c r="R22" s="54"/>
      <c r="U22" s="2">
        <v>14</v>
      </c>
      <c r="V22" s="30" t="str">
        <f t="shared" si="6"/>
        <v/>
      </c>
      <c r="W22" s="30" t="str">
        <f t="shared" si="0"/>
        <v/>
      </c>
      <c r="X22" s="30" t="str">
        <f t="shared" si="1"/>
        <v/>
      </c>
      <c r="Y22" s="30" t="str">
        <f t="shared" si="2"/>
        <v/>
      </c>
      <c r="Z22" s="30" t="str">
        <f t="shared" si="3"/>
        <v/>
      </c>
      <c r="AA22" s="30" t="str">
        <f t="shared" si="4"/>
        <v/>
      </c>
      <c r="AB22" s="48" t="str">
        <f t="shared" si="5"/>
        <v/>
      </c>
    </row>
    <row r="23" spans="2:30" ht="12.75" customHeight="1" thickBot="1" x14ac:dyDescent="0.25">
      <c r="B23" s="27">
        <f>AC27</f>
        <v>2</v>
      </c>
      <c r="C23" s="2"/>
      <c r="D23" s="37">
        <v>15</v>
      </c>
      <c r="E23" s="149"/>
      <c r="F23" s="46"/>
      <c r="G23" s="56"/>
      <c r="H23" s="57"/>
      <c r="I23" s="45"/>
      <c r="J23" s="46"/>
      <c r="K23" s="45"/>
      <c r="L23" s="59"/>
      <c r="M23" s="102"/>
      <c r="N23" s="59"/>
      <c r="O23" s="56"/>
      <c r="P23" s="58"/>
      <c r="Q23" s="45"/>
      <c r="R23" s="59"/>
      <c r="U23" s="2">
        <v>15</v>
      </c>
      <c r="V23" s="31" t="str">
        <f t="shared" si="6"/>
        <v/>
      </c>
      <c r="W23" s="31" t="str">
        <f t="shared" si="0"/>
        <v/>
      </c>
      <c r="X23" s="31" t="str">
        <f t="shared" si="1"/>
        <v/>
      </c>
      <c r="Y23" s="31" t="str">
        <f t="shared" si="2"/>
        <v/>
      </c>
      <c r="Z23" s="31" t="str">
        <f t="shared" si="3"/>
        <v/>
      </c>
      <c r="AA23" s="31" t="str">
        <f t="shared" si="4"/>
        <v/>
      </c>
      <c r="AB23" s="49" t="str">
        <f t="shared" si="5"/>
        <v/>
      </c>
    </row>
    <row r="24" spans="2:30" ht="12.95" customHeight="1" x14ac:dyDescent="0.2">
      <c r="B24" s="61"/>
      <c r="C24" s="2"/>
      <c r="D24" s="231" t="str">
        <f>HLOOKUP(Jezik!$B$6,Jezik!$E$31:'Jezik'!$N$87,1+ 21)</f>
        <v>Mer. instrum.</v>
      </c>
      <c r="E24" s="225" t="str">
        <f>IF(V37=1,"!!! u2 = 0,7 or 1,5","u2")</f>
        <v>u2</v>
      </c>
      <c r="F24" s="226"/>
      <c r="G24" s="225" t="str">
        <f>IF(W37=1,"!!! u2 = 0,7 or 1,5","u2")</f>
        <v>u2</v>
      </c>
      <c r="H24" s="226"/>
      <c r="I24" s="225" t="str">
        <f>IF(X37=1,"!!! u2 = 0,7 or 1,5","u2")</f>
        <v>u2</v>
      </c>
      <c r="J24" s="226"/>
      <c r="K24" s="225" t="str">
        <f>IF(Y37=1,"!!! u2 = 0,7 or 1,5","u2")</f>
        <v>u2</v>
      </c>
      <c r="L24" s="226"/>
      <c r="M24" s="225" t="str">
        <f>IF(Z37=1,"!!! u2 = 0,7 or 1,5","u2")</f>
        <v>u2</v>
      </c>
      <c r="N24" s="226"/>
      <c r="O24" s="225" t="str">
        <f>IF(AA37=1,"!!! u2 = 0,7 or 1,5","u2")</f>
        <v>u2</v>
      </c>
      <c r="P24" s="226"/>
      <c r="Q24" s="225" t="str">
        <f>IF(AB37=1,"!!! u2 = 0,7 or 1,5","u2")</f>
        <v>u2</v>
      </c>
      <c r="R24" s="226"/>
      <c r="U24" t="s">
        <v>67</v>
      </c>
      <c r="V24" t="str">
        <f>IF(E27=0,"",AVERAGE(V9:V23))</f>
        <v/>
      </c>
      <c r="W24" t="str">
        <f>IF(G27=0,"",AVERAGE(W9:W23))</f>
        <v/>
      </c>
      <c r="X24" t="str">
        <f>IF(I27=0,"",AVERAGE(X9:X23))</f>
        <v/>
      </c>
      <c r="Y24">
        <f>IF(K27=0,"",AVERAGE(Y9:Y23))</f>
        <v>0.01</v>
      </c>
      <c r="Z24" t="str">
        <f>IF(M27=0,"",AVERAGE(Z9:Z23))</f>
        <v/>
      </c>
      <c r="AA24" t="str">
        <f>IF(O27=0,"",AVERAGE(AA9:AA23))</f>
        <v/>
      </c>
      <c r="AB24" t="str">
        <f>IF(Q27=0,"",AVERAGE(AB9:AB23))</f>
        <v/>
      </c>
      <c r="AC24" s="2" t="s">
        <v>72</v>
      </c>
      <c r="AD24" s="2" t="s">
        <v>74</v>
      </c>
    </row>
    <row r="25" spans="2:30" ht="13.5" thickBot="1" x14ac:dyDescent="0.25">
      <c r="B25" s="61"/>
      <c r="C25" s="2"/>
      <c r="D25" s="232"/>
      <c r="E25" s="237">
        <v>0.7</v>
      </c>
      <c r="F25" s="230"/>
      <c r="G25" s="229">
        <v>0.7</v>
      </c>
      <c r="H25" s="230"/>
      <c r="I25" s="229">
        <v>0.7</v>
      </c>
      <c r="J25" s="230"/>
      <c r="K25" s="229">
        <v>0.7</v>
      </c>
      <c r="L25" s="230"/>
      <c r="M25" s="229"/>
      <c r="N25" s="230"/>
      <c r="O25" s="229"/>
      <c r="P25" s="230"/>
      <c r="Q25" s="229"/>
      <c r="R25" s="230"/>
      <c r="U25" t="s">
        <v>70</v>
      </c>
      <c r="V25" s="62" t="str">
        <f>IF(E27=0,"",10*(8+LOG10(V24)))</f>
        <v/>
      </c>
      <c r="W25" s="50" t="str">
        <f>IF(G27=0,"",10*(8+LOG(W24)))</f>
        <v/>
      </c>
      <c r="X25" s="63" t="str">
        <f>IF(I27=0,"",10*(8+LOG(X24)))</f>
        <v/>
      </c>
      <c r="Y25" s="50">
        <f>IF(K27=0,"",10*(8+LOG(Y24)))</f>
        <v>60</v>
      </c>
      <c r="Z25" s="63" t="str">
        <f>IF(M27=0,"",10*(8+LOG(Z24)))</f>
        <v/>
      </c>
      <c r="AA25" s="50" t="str">
        <f>IF(O27=0,"",10*(8+LOG(AA24)))</f>
        <v/>
      </c>
      <c r="AB25" s="64" t="str">
        <f>IF(Q27=0,"",10*(8+LOG(AB24)))</f>
        <v/>
      </c>
    </row>
    <row r="26" spans="2:30" ht="3.75" customHeight="1" x14ac:dyDescent="0.2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30" ht="14.25" customHeight="1" x14ac:dyDescent="0.2">
      <c r="B27" s="153" t="str">
        <f>'Posao ili Ceo dan'!A27:A29</f>
        <v>Broj izmerenih vrednosti</v>
      </c>
      <c r="C27" s="1"/>
      <c r="E27" s="8">
        <f>COUNT(E9:E23)</f>
        <v>0</v>
      </c>
      <c r="F27" s="2"/>
      <c r="G27" s="8">
        <f t="shared" ref="G27:Q27" si="7">COUNT(G9:G23)</f>
        <v>0</v>
      </c>
      <c r="H27" s="2"/>
      <c r="I27" s="8">
        <f t="shared" si="7"/>
        <v>0</v>
      </c>
      <c r="J27" s="2"/>
      <c r="K27" s="8">
        <f t="shared" si="7"/>
        <v>3</v>
      </c>
      <c r="L27" s="2"/>
      <c r="M27" s="8">
        <f t="shared" si="7"/>
        <v>0</v>
      </c>
      <c r="N27" s="2"/>
      <c r="O27" s="8">
        <f t="shared" si="7"/>
        <v>0</v>
      </c>
      <c r="P27" s="2"/>
      <c r="Q27" s="8">
        <f t="shared" si="7"/>
        <v>0</v>
      </c>
      <c r="R27" s="2"/>
      <c r="U27" t="s">
        <v>73</v>
      </c>
      <c r="V27" s="67" t="str">
        <f>IF(V29="","",F31)</f>
        <v/>
      </c>
      <c r="W27" s="41" t="str">
        <f>IF(W29="","",H31)</f>
        <v/>
      </c>
      <c r="X27" s="65" t="str">
        <f>IF(X29="","",J31)</f>
        <v/>
      </c>
      <c r="Y27" s="41">
        <f>IF(Y29="","",L31)</f>
        <v>2</v>
      </c>
      <c r="Z27" s="65" t="str">
        <f>IF(Z29="","",N31)</f>
        <v/>
      </c>
      <c r="AA27" s="41" t="str">
        <f>IF(AA29="","",P31)</f>
        <v/>
      </c>
      <c r="AB27" s="68" t="str">
        <f>IF(AB29="","",R31)</f>
        <v/>
      </c>
      <c r="AC27" s="2">
        <f>SUM(V27:AB27)</f>
        <v>2</v>
      </c>
    </row>
    <row r="28" spans="2:30" ht="2.25" customHeight="1" x14ac:dyDescent="0.2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30" x14ac:dyDescent="0.2">
      <c r="B29" s="153" t="str">
        <f>HLOOKUP(Jezik!$B$6,Jezik!$E$31:'Jezik'!$N$87,1+ 27)</f>
        <v>Lp,A,eqT,m :  Energetski sr. vrednost</v>
      </c>
      <c r="C29" s="1"/>
      <c r="D29" s="1"/>
      <c r="E29" s="60" t="str">
        <f>V25</f>
        <v/>
      </c>
      <c r="F29" s="61"/>
      <c r="G29" s="60" t="str">
        <f>W25</f>
        <v/>
      </c>
      <c r="H29" s="61"/>
      <c r="I29" s="60" t="str">
        <f>X25</f>
        <v/>
      </c>
      <c r="J29" s="61"/>
      <c r="K29" s="60">
        <f>Y25</f>
        <v>60</v>
      </c>
      <c r="L29" s="61"/>
      <c r="M29" s="60" t="str">
        <f>Z25</f>
        <v/>
      </c>
      <c r="N29" s="61"/>
      <c r="O29" s="60" t="str">
        <f>AA25</f>
        <v/>
      </c>
      <c r="P29" s="61"/>
      <c r="Q29" s="60" t="str">
        <f>AB25</f>
        <v/>
      </c>
      <c r="R29" s="11"/>
      <c r="U29" t="s">
        <v>71</v>
      </c>
      <c r="V29" s="67" t="str">
        <f>IF(OR(F31="",V24=""),"",V24*F31/8)</f>
        <v/>
      </c>
      <c r="W29" s="41" t="str">
        <f>IF(OR(H31="",W24=""),"",W24*H31/8)</f>
        <v/>
      </c>
      <c r="X29" s="65" t="str">
        <f>IF(OR(J31="",X24=""),"",X24*J31/8)</f>
        <v/>
      </c>
      <c r="Y29" s="41">
        <f>IF(OR(L31="",Y24=""),"",Y24*L31/8)</f>
        <v>2.5000000000000001E-3</v>
      </c>
      <c r="Z29" s="65" t="str">
        <f>IF(OR(N31="",Z24=""),"",Z24*N31/8)</f>
        <v/>
      </c>
      <c r="AA29" s="41" t="str">
        <f>IF(OR(P31="",AA24=""),"",AA24*P31/8)</f>
        <v/>
      </c>
      <c r="AB29" s="68" t="str">
        <f>IF(OR(R31="",AB24=""),"",AB24*R31/8)</f>
        <v/>
      </c>
      <c r="AC29" s="2">
        <f>SUM(V29:AB29)</f>
        <v>2.5000000000000001E-3</v>
      </c>
      <c r="AD29" s="2">
        <f>COUNT(V29:AB29)</f>
        <v>1</v>
      </c>
    </row>
    <row r="30" spans="2:30" x14ac:dyDescent="0.2">
      <c r="B30" s="130" t="str">
        <f>HLOOKUP(Jezik!$B$6,Jezik!$E$31:'Jezik'!$N$87,1+ 28)</f>
        <v xml:space="preserve">          Standardna nesigurnost u1a</v>
      </c>
      <c r="E30" s="9" t="str">
        <f>IF(V29&lt;&gt;"",V31,"")</f>
        <v/>
      </c>
      <c r="F30" s="11"/>
      <c r="G30" s="9" t="str">
        <f>IF(W29&lt;&gt;"",W31,"")</f>
        <v/>
      </c>
      <c r="H30" s="11"/>
      <c r="I30" s="9" t="str">
        <f>IF(X29&lt;&gt;"",X31,"")</f>
        <v/>
      </c>
      <c r="J30" s="11"/>
      <c r="K30" s="9">
        <f>IF(Y29&lt;&gt;"",Y31,"")</f>
        <v>0</v>
      </c>
      <c r="L30" s="2"/>
      <c r="M30" s="9" t="str">
        <f>IF(Z29&lt;&gt;"",Z31,"")</f>
        <v/>
      </c>
      <c r="N30" s="2"/>
      <c r="O30" s="9" t="str">
        <f>IF(AA29&lt;&gt;"",AA31,"")</f>
        <v/>
      </c>
      <c r="P30" s="11"/>
      <c r="Q30" s="9" t="str">
        <f>IF(AB29&lt;&gt;"",AB31,"")</f>
        <v/>
      </c>
      <c r="R30" s="11"/>
      <c r="AC30">
        <f>10*(8+LOG10(AC29))</f>
        <v>53.979400086720375</v>
      </c>
    </row>
    <row r="31" spans="2:30" x14ac:dyDescent="0.2">
      <c r="B31" s="153" t="str">
        <f>HLOOKUP(Jezik!$B$6,Jezik!$E$31:'Jezik'!$N$87,1+ 29)</f>
        <v xml:space="preserve">Tm:  Trajanje zadatka m (h) </v>
      </c>
      <c r="C31" s="1"/>
      <c r="E31" s="11"/>
      <c r="F31" s="60">
        <f>IF(COUNT(F9:F23)&gt;0,AVERAGE(F9:F23),"")</f>
        <v>1</v>
      </c>
      <c r="G31" s="61"/>
      <c r="H31" s="60">
        <f t="shared" ref="H31:R31" si="8">IF(COUNT(H9:H23)&gt;0,AVERAGE(H9:H23),"")</f>
        <v>2</v>
      </c>
      <c r="I31" s="61"/>
      <c r="J31" s="60">
        <f t="shared" si="8"/>
        <v>3</v>
      </c>
      <c r="K31" s="61"/>
      <c r="L31" s="60">
        <f t="shared" si="8"/>
        <v>2</v>
      </c>
      <c r="M31" s="61"/>
      <c r="N31" s="60" t="str">
        <f t="shared" si="8"/>
        <v/>
      </c>
      <c r="O31" s="61"/>
      <c r="P31" s="60" t="str">
        <f t="shared" si="8"/>
        <v/>
      </c>
      <c r="Q31" s="61"/>
      <c r="R31" s="60" t="str">
        <f t="shared" si="8"/>
        <v/>
      </c>
      <c r="U31" t="s">
        <v>94</v>
      </c>
      <c r="V31" s="9">
        <f>IF(E27&lt;2,0,STDEV(E9:E23)/SQRT(E27))</f>
        <v>0</v>
      </c>
      <c r="W31" s="9">
        <f>IF(G27&lt;2,0,STDEV(G9:G23)/SQRT(G27))</f>
        <v>0</v>
      </c>
      <c r="X31" s="9">
        <f>IF(I27&lt;2,0,STDEV(I9:I23)/SQRT(I27))</f>
        <v>0</v>
      </c>
      <c r="Y31" s="9">
        <f>IF(K27&lt;2,0,STDEV(K9:K23)/SQRT(K27))</f>
        <v>0</v>
      </c>
      <c r="Z31" s="9">
        <f>IF(M27&lt;2,0,STDEV(M9:M23)/SQRT(M27))</f>
        <v>0</v>
      </c>
      <c r="AA31" s="9">
        <f>IF(O27&lt;2,0,STDEV(O9:O23)/SQRT(O27))</f>
        <v>0</v>
      </c>
      <c r="AB31" s="9">
        <f>IF(Q27&lt;2,0,STDEV(Q9:Q23)/SQRT(Q27))</f>
        <v>0</v>
      </c>
    </row>
    <row r="32" spans="2:30" x14ac:dyDescent="0.2">
      <c r="B32" s="130" t="str">
        <f>HLOOKUP(Jezik!$B$6,Jezik!$E$31:'Jezik'!$N$87,1+ 30)</f>
        <v xml:space="preserve">          Standardna nesigurnost u1b</v>
      </c>
      <c r="E32" s="11"/>
      <c r="F32" s="9" t="str">
        <f>IF(V29&lt;&gt;"",V32,"")</f>
        <v/>
      </c>
      <c r="G32" s="11"/>
      <c r="H32" s="9" t="str">
        <f>IF(W29&lt;&gt;"",W32,"")</f>
        <v/>
      </c>
      <c r="I32" s="11"/>
      <c r="J32" s="9" t="str">
        <f>IF(X29&lt;&gt;"",X32,"")</f>
        <v/>
      </c>
      <c r="K32" s="11"/>
      <c r="L32" s="9">
        <f>IF(Y29&lt;&gt;"",Y32,"")</f>
        <v>0</v>
      </c>
      <c r="M32" s="2"/>
      <c r="N32" s="9" t="str">
        <f>IF(Z29&lt;&gt;"",Z32,"")</f>
        <v/>
      </c>
      <c r="O32" s="2"/>
      <c r="P32" s="9" t="str">
        <f>IF(AA29&lt;&gt;"",AA32,"")</f>
        <v/>
      </c>
      <c r="Q32" s="11"/>
      <c r="R32" s="9" t="str">
        <f>IF(AB29&lt;&gt;"",AB32,"")</f>
        <v/>
      </c>
      <c r="U32" t="s">
        <v>95</v>
      </c>
      <c r="V32" s="9">
        <f>IF(COUNT(F9:F23)&gt;1,STDEV(F9:F23)/SQRT(COUNT(F9:F23)),0)</f>
        <v>5.7735026918962602E-2</v>
      </c>
      <c r="W32" s="9">
        <f>IF(COUNT(H9:H23)&gt;1,STDEV(H9:H23)/SQRT(COUNT(H9:H23)),0)</f>
        <v>5.773502691896263E-2</v>
      </c>
      <c r="X32" s="9">
        <f>IF(COUNT(J9:J23)&gt;1,STDEV(J9:J23)/SQRT(COUNT(J9:J23)),0)</f>
        <v>5.773502691896263E-2</v>
      </c>
      <c r="Y32" s="9">
        <f>IF(COUNT(L9:L23)&gt;1,STDEV(L9:L23)/SQRT(COUNT(L9:L23)),0)</f>
        <v>0</v>
      </c>
      <c r="Z32" s="9">
        <f>IF(COUNT(N9:N23)&gt;1,STDEV(N9:N23)/SQRT(COUNT(N9:N23)),0)</f>
        <v>0</v>
      </c>
      <c r="AA32" s="9">
        <f>IF(COUNT(P9:P23)&gt;1,STDEV(P9:P23)/SQRT(COUNT(P9:P23)),0)</f>
        <v>0</v>
      </c>
      <c r="AB32" s="9">
        <f>IF(COUNT(R9:R23)&gt;1,STDEV(R9:R23)/SQRT(COUNT(R9:R23)),0)</f>
        <v>0</v>
      </c>
    </row>
    <row r="33" spans="5:28" x14ac:dyDescent="0.2"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5:28" x14ac:dyDescent="0.2"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U34" t="s">
        <v>338</v>
      </c>
      <c r="V34" s="47">
        <f t="shared" ref="V34:AA34" si="9">IF(V29="",0,1)</f>
        <v>0</v>
      </c>
      <c r="W34" s="47">
        <f t="shared" si="9"/>
        <v>0</v>
      </c>
      <c r="X34" s="47">
        <f t="shared" si="9"/>
        <v>0</v>
      </c>
      <c r="Y34" s="47">
        <f t="shared" si="9"/>
        <v>1</v>
      </c>
      <c r="Z34" s="47">
        <f t="shared" si="9"/>
        <v>0</v>
      </c>
      <c r="AA34" s="47">
        <f t="shared" si="9"/>
        <v>0</v>
      </c>
      <c r="AB34" s="47">
        <f>IF(AB29="",0,1)</f>
        <v>0</v>
      </c>
    </row>
    <row r="35" spans="5:28" x14ac:dyDescent="0.2">
      <c r="U35" t="s">
        <v>335</v>
      </c>
      <c r="V35" s="48">
        <f>IF(E25=0.7,2,0)</f>
        <v>2</v>
      </c>
      <c r="W35" s="48">
        <f>IF(G25=0.7,2,0)</f>
        <v>2</v>
      </c>
      <c r="X35" s="48">
        <f>IF(I25=0.7,2,0)</f>
        <v>2</v>
      </c>
      <c r="Y35" s="48">
        <f>IF(K25=0.7,2,0)</f>
        <v>2</v>
      </c>
      <c r="Z35" s="48">
        <f>IF(M25=0.7,2,0)</f>
        <v>0</v>
      </c>
      <c r="AA35" s="48">
        <f>IF(O25=0.7,2,0)</f>
        <v>0</v>
      </c>
      <c r="AB35" s="48">
        <f>IF(Q25=0.7,2,0)</f>
        <v>0</v>
      </c>
    </row>
    <row r="36" spans="5:28" x14ac:dyDescent="0.2">
      <c r="U36" t="s">
        <v>336</v>
      </c>
      <c r="V36" s="48">
        <f>IF(E25=1.5,3,0)</f>
        <v>0</v>
      </c>
      <c r="W36" s="48">
        <f>IF(G25=1.5,3,0)</f>
        <v>0</v>
      </c>
      <c r="X36" s="48">
        <f>IF(I25=1.5,3,0)</f>
        <v>0</v>
      </c>
      <c r="Y36" s="48">
        <f>IF(K25=1.5,3,0)</f>
        <v>0</v>
      </c>
      <c r="Z36" s="48">
        <f>IF(M25=1.5,3,0)</f>
        <v>0</v>
      </c>
      <c r="AA36" s="48">
        <f>IF(O25=1.5,3,0)</f>
        <v>0</v>
      </c>
      <c r="AB36" s="48">
        <f>IF(Q25=1.5,3,0)</f>
        <v>0</v>
      </c>
    </row>
    <row r="37" spans="5:28" x14ac:dyDescent="0.2">
      <c r="U37" t="s">
        <v>337</v>
      </c>
      <c r="V37" s="41">
        <f t="shared" ref="V37:AA37" si="10">SUM(V34:V36)</f>
        <v>2</v>
      </c>
      <c r="W37" s="41">
        <f t="shared" si="10"/>
        <v>2</v>
      </c>
      <c r="X37" s="41">
        <f t="shared" si="10"/>
        <v>2</v>
      </c>
      <c r="Y37" s="41">
        <f t="shared" si="10"/>
        <v>3</v>
      </c>
      <c r="Z37" s="41">
        <f t="shared" si="10"/>
        <v>0</v>
      </c>
      <c r="AA37" s="41">
        <f t="shared" si="10"/>
        <v>0</v>
      </c>
      <c r="AB37" s="41">
        <f>SUM(AB34:AB36)</f>
        <v>0</v>
      </c>
    </row>
  </sheetData>
  <mergeCells count="33">
    <mergeCell ref="D24:D25"/>
    <mergeCell ref="B8:B9"/>
    <mergeCell ref="B17:B18"/>
    <mergeCell ref="B21:B22"/>
    <mergeCell ref="K25:L25"/>
    <mergeCell ref="E25:F25"/>
    <mergeCell ref="G24:H24"/>
    <mergeCell ref="G25:H25"/>
    <mergeCell ref="I24:J24"/>
    <mergeCell ref="I25:J25"/>
    <mergeCell ref="Q25:R25"/>
    <mergeCell ref="M24:N24"/>
    <mergeCell ref="M25:N25"/>
    <mergeCell ref="O24:P24"/>
    <mergeCell ref="O25:P25"/>
    <mergeCell ref="M7:N7"/>
    <mergeCell ref="O7:P7"/>
    <mergeCell ref="Q7:R7"/>
    <mergeCell ref="E24:F24"/>
    <mergeCell ref="K24:L24"/>
    <mergeCell ref="E7:F7"/>
    <mergeCell ref="G7:H7"/>
    <mergeCell ref="I7:J7"/>
    <mergeCell ref="K7:L7"/>
    <mergeCell ref="Q24:R24"/>
    <mergeCell ref="M6:N6"/>
    <mergeCell ref="O6:P6"/>
    <mergeCell ref="Q6:R6"/>
    <mergeCell ref="K6:L6"/>
    <mergeCell ref="C2:D3"/>
    <mergeCell ref="E6:F6"/>
    <mergeCell ref="G6:H6"/>
    <mergeCell ref="I6:J6"/>
  </mergeCells>
  <phoneticPr fontId="0" type="noConversion"/>
  <pageMargins left="0.59055118110236227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35"/>
  <sheetViews>
    <sheetView showGridLines="0" workbookViewId="0">
      <selection activeCell="X19" sqref="X19"/>
    </sheetView>
  </sheetViews>
  <sheetFormatPr defaultColWidth="11.42578125" defaultRowHeight="12.75" x14ac:dyDescent="0.2"/>
  <cols>
    <col min="1" max="1" width="2" customWidth="1"/>
    <col min="2" max="2" width="11.42578125" customWidth="1"/>
    <col min="3" max="3" width="29" customWidth="1"/>
    <col min="4" max="4" width="10.42578125" style="2" customWidth="1"/>
    <col min="5" max="5" width="15.28515625" customWidth="1"/>
    <col min="6" max="12" width="9.7109375" customWidth="1"/>
    <col min="13" max="13" width="11.42578125" customWidth="1"/>
    <col min="14" max="14" width="0" style="2" hidden="1" customWidth="1"/>
    <col min="15" max="16" width="11.5703125" hidden="1" customWidth="1"/>
    <col min="17" max="17" width="12.5703125" hidden="1" customWidth="1"/>
    <col min="18" max="20" width="0" hidden="1" customWidth="1"/>
    <col min="21" max="21" width="11.5703125" hidden="1" customWidth="1"/>
  </cols>
  <sheetData>
    <row r="1" spans="2:25" ht="15.75" x14ac:dyDescent="0.2">
      <c r="B1" s="76" t="s">
        <v>0</v>
      </c>
      <c r="C1" s="76" t="str">
        <f>'Posao ili Ceo dan'!B1</f>
        <v>Ocena mernih nesigurnosti (Dodatak C)</v>
      </c>
      <c r="D1" s="73"/>
      <c r="E1" s="77"/>
      <c r="F1" s="73"/>
      <c r="G1" s="73"/>
      <c r="H1" s="76" t="str">
        <f>HLOOKUP(Jezik!$B$6,Jezik!$E$31:'Jezik'!$N$87,1+ 31)</f>
        <v>Izračunavanja nesigurnosti</v>
      </c>
      <c r="I1" s="73"/>
      <c r="J1" s="73"/>
      <c r="K1" s="73"/>
      <c r="L1" s="73"/>
    </row>
    <row r="2" spans="2:25" ht="15.75" x14ac:dyDescent="0.2">
      <c r="B2" s="76"/>
      <c r="C2" s="76" t="str">
        <f>'Zadatak-ulazni podaci'!L1</f>
        <v>Merenje zasnovano na zadatku</v>
      </c>
      <c r="D2" s="73"/>
      <c r="E2" s="77"/>
      <c r="F2" s="73"/>
      <c r="G2" s="157" t="str">
        <f>HLOOKUP(Jezik!$B$6,Jezik!$E$31:'Jezik'!$N$87,1+ 32)</f>
        <v>Sve vrednosti su izračunate na osnovu lista "Zadatak-ulazni podaci"</v>
      </c>
      <c r="H2" s="73"/>
      <c r="I2" s="73"/>
      <c r="J2" s="73"/>
      <c r="K2" s="73"/>
      <c r="L2" s="73"/>
      <c r="N2"/>
    </row>
    <row r="3" spans="2:25" ht="18" customHeight="1" thickBot="1" x14ac:dyDescent="0.25">
      <c r="B3" s="79"/>
      <c r="C3" s="77"/>
      <c r="D3" s="73"/>
      <c r="E3" s="77"/>
      <c r="F3" s="78"/>
      <c r="G3" s="77"/>
      <c r="H3" s="77"/>
      <c r="I3" s="73"/>
      <c r="J3" s="73"/>
      <c r="K3" s="73"/>
      <c r="L3" s="73"/>
    </row>
    <row r="4" spans="2:25" ht="16.5" thickBot="1" x14ac:dyDescent="0.25">
      <c r="B4" s="109" t="str">
        <f>'Posao ili Ceo dan'!F28</f>
        <v>Dnevni nivo izloženosti buci</v>
      </c>
      <c r="C4" s="77"/>
      <c r="E4" s="108">
        <f>'Zadatak-ulazni podaci'!B14</f>
        <v>53.979400086720375</v>
      </c>
      <c r="F4" s="109" t="s">
        <v>58</v>
      </c>
      <c r="G4" s="107" t="str">
        <f>HLOOKUP(Jezik!$B$6,Jezik!$E$31:'Jezik'!$N$87,1+ 33)</f>
        <v>Broj zadataka</v>
      </c>
      <c r="H4" s="91"/>
      <c r="J4" s="83">
        <f>COUNT(O8:U8)</f>
        <v>1</v>
      </c>
      <c r="K4" s="73"/>
      <c r="L4" s="73"/>
    </row>
    <row r="5" spans="2:25" ht="16.5" thickBot="1" x14ac:dyDescent="0.25">
      <c r="B5" s="109" t="str">
        <f>'Posao ili Ceo dan'!F29</f>
        <v>Proširena nesigurnost</v>
      </c>
      <c r="C5" s="77"/>
      <c r="E5" s="108">
        <f>K30</f>
        <v>0</v>
      </c>
      <c r="F5" s="109" t="s">
        <v>58</v>
      </c>
      <c r="G5" s="107" t="str">
        <f>HLOOKUP(Jezik!$B$6,Jezik!$E$31:'Jezik'!$N$87,1+ 34)</f>
        <v>Ukupno dnevno trajanje (h)</v>
      </c>
      <c r="H5" s="80"/>
      <c r="J5" s="104">
        <f>IF(J4=0,"",SUM(F20:L20))</f>
        <v>2</v>
      </c>
      <c r="K5" s="73"/>
      <c r="L5" s="73"/>
      <c r="O5" t="s">
        <v>93</v>
      </c>
    </row>
    <row r="6" spans="2:25" ht="6" customHeight="1" x14ac:dyDescent="0.2">
      <c r="B6" s="77"/>
      <c r="C6" s="80"/>
      <c r="D6" s="73"/>
      <c r="E6" s="77"/>
      <c r="F6" s="73"/>
      <c r="G6" s="73"/>
      <c r="H6" s="73"/>
      <c r="I6" s="73"/>
      <c r="J6" s="73"/>
      <c r="K6" s="73"/>
      <c r="L6" s="73"/>
    </row>
    <row r="7" spans="2:25" ht="15.95" customHeight="1" x14ac:dyDescent="0.2">
      <c r="B7" s="159" t="str">
        <f>HLOOKUP(Jezik!$B$6,Jezik!$E$31:'Jezik'!$N$87,1+ 35)</f>
        <v>Budžet nesigurnosti</v>
      </c>
      <c r="C7" s="121"/>
      <c r="D7" s="110" t="str">
        <f>HLOOKUP(Jezik!$B$6,Jezik!$E$31:'Jezik'!$N$87,1+ 52)</f>
        <v>(referenca)</v>
      </c>
      <c r="E7" s="110" t="str">
        <f>HLOOKUP(Jezik!$B$6,Jezik!$E$31:'Jezik'!$N$87,1+ 53)</f>
        <v>Simboli, relacije</v>
      </c>
      <c r="F7" s="105" t="str">
        <f>'Zadatak-ulazni podaci'!E6</f>
        <v>Zadatak 1</v>
      </c>
      <c r="G7" s="105" t="str">
        <f>'Zadatak-ulazni podaci'!G6</f>
        <v>Zadatak 2</v>
      </c>
      <c r="H7" s="105" t="str">
        <f>'Zadatak-ulazni podaci'!I6</f>
        <v>Zadatak 3</v>
      </c>
      <c r="I7" s="105" t="str">
        <f>'Zadatak-ulazni podaci'!K6</f>
        <v>Zadatak 4</v>
      </c>
      <c r="J7" s="105" t="str">
        <f>'Zadatak-ulazni podaci'!M6</f>
        <v>Zadatak 5</v>
      </c>
      <c r="K7" s="105" t="str">
        <f>'Zadatak-ulazni podaci'!O6</f>
        <v>Zadatak 6</v>
      </c>
      <c r="L7" s="106" t="str">
        <f>'Zadatak-ulazni podaci'!Q6</f>
        <v>Zadatak 7</v>
      </c>
      <c r="O7" s="34" t="s">
        <v>60</v>
      </c>
      <c r="P7" s="70" t="s">
        <v>61</v>
      </c>
      <c r="Q7" s="69" t="s">
        <v>62</v>
      </c>
      <c r="R7" s="70" t="s">
        <v>63</v>
      </c>
      <c r="S7" s="69" t="s">
        <v>64</v>
      </c>
      <c r="T7" s="70" t="s">
        <v>65</v>
      </c>
      <c r="U7" s="92" t="s">
        <v>66</v>
      </c>
    </row>
    <row r="8" spans="2:25" ht="15.95" customHeight="1" x14ac:dyDescent="0.3">
      <c r="B8" s="238" t="str">
        <f>HLOOKUP(Jezik!$B$6,Jezik!$E$31:'Jezik'!$N$87,1+ 36)</f>
        <v>Nivo buke</v>
      </c>
      <c r="C8" s="157" t="str">
        <f>HLOOKUP(Jezik!$B$6,Jezik!$E$31:'Jezik'!$N$87,1+ 38)</f>
        <v>Standardna nesigurnost</v>
      </c>
      <c r="D8" s="111" t="s">
        <v>414</v>
      </c>
      <c r="E8" s="164" t="s">
        <v>339</v>
      </c>
      <c r="F8" s="118" t="str">
        <f t="shared" ref="F8:L8" si="0">IF(O$8&lt;&gt;"",O12,"")</f>
        <v/>
      </c>
      <c r="G8" s="118" t="str">
        <f t="shared" si="0"/>
        <v/>
      </c>
      <c r="H8" s="118" t="str">
        <f t="shared" si="0"/>
        <v/>
      </c>
      <c r="I8" s="93">
        <f t="shared" si="0"/>
        <v>0</v>
      </c>
      <c r="J8" s="93" t="str">
        <f t="shared" si="0"/>
        <v/>
      </c>
      <c r="K8" s="93" t="str">
        <f t="shared" si="0"/>
        <v/>
      </c>
      <c r="L8" s="103" t="str">
        <f t="shared" si="0"/>
        <v/>
      </c>
      <c r="O8" s="67" t="str">
        <f>'Zadatak-ulazni podaci'!V29</f>
        <v/>
      </c>
      <c r="P8" s="41" t="str">
        <f>'Zadatak-ulazni podaci'!W29</f>
        <v/>
      </c>
      <c r="Q8" s="65" t="str">
        <f>'Zadatak-ulazni podaci'!X29</f>
        <v/>
      </c>
      <c r="R8" s="41">
        <f>'Zadatak-ulazni podaci'!Y29</f>
        <v>2.5000000000000001E-3</v>
      </c>
      <c r="S8" s="65" t="str">
        <f>'Zadatak-ulazni podaci'!Z29</f>
        <v/>
      </c>
      <c r="T8" s="41" t="str">
        <f>'Zadatak-ulazni podaci'!AA29</f>
        <v/>
      </c>
      <c r="U8" s="68" t="str">
        <f>'Zadatak-ulazni podaci'!AB29</f>
        <v/>
      </c>
    </row>
    <row r="9" spans="2:25" ht="15.95" customHeight="1" x14ac:dyDescent="0.3">
      <c r="B9" s="239"/>
      <c r="C9" s="158" t="str">
        <f>HLOOKUP(Jezik!$B$6,Jezik!$E$31:'Jezik'!$N$87,1+ 39)</f>
        <v>Koeficijent osetljivosti</v>
      </c>
      <c r="D9" s="110" t="s">
        <v>411</v>
      </c>
      <c r="E9" s="187" t="s">
        <v>340</v>
      </c>
      <c r="F9" s="117" t="str">
        <f t="shared" ref="F9:L9" si="1">IF(O8&lt;&gt;"",F20/8*10^((F19-$E$4)/10),"")</f>
        <v/>
      </c>
      <c r="G9" s="117" t="str">
        <f t="shared" si="1"/>
        <v/>
      </c>
      <c r="H9" s="117" t="str">
        <f t="shared" si="1"/>
        <v/>
      </c>
      <c r="I9" s="94">
        <f t="shared" si="1"/>
        <v>1.0000000000000004</v>
      </c>
      <c r="J9" s="94" t="str">
        <f t="shared" si="1"/>
        <v/>
      </c>
      <c r="K9" s="94" t="str">
        <f t="shared" si="1"/>
        <v/>
      </c>
      <c r="L9" s="95" t="str">
        <f t="shared" si="1"/>
        <v/>
      </c>
    </row>
    <row r="10" spans="2:25" ht="15.95" customHeight="1" x14ac:dyDescent="0.3">
      <c r="B10" s="238" t="str">
        <f>HLOOKUP(Jezik!$B$6,Jezik!$E$31:'Jezik'!$N$87,1+ 37)</f>
        <v>Trajanje</v>
      </c>
      <c r="C10" s="157" t="str">
        <f>HLOOKUP(Jezik!$B$6,Jezik!$E$31:'Jezik'!$N$87,1+ 38)</f>
        <v>Standardna nesigurnost</v>
      </c>
      <c r="D10" s="112" t="s">
        <v>412</v>
      </c>
      <c r="E10" s="164" t="s">
        <v>341</v>
      </c>
      <c r="F10" s="118" t="str">
        <f t="shared" ref="F10:L10" si="2">IF(O$8&lt;&gt;"",O13,"")</f>
        <v/>
      </c>
      <c r="G10" s="118" t="str">
        <f t="shared" si="2"/>
        <v/>
      </c>
      <c r="H10" s="118" t="str">
        <f t="shared" si="2"/>
        <v/>
      </c>
      <c r="I10" s="93">
        <f t="shared" si="2"/>
        <v>0</v>
      </c>
      <c r="J10" s="93" t="str">
        <f t="shared" si="2"/>
        <v/>
      </c>
      <c r="K10" s="93" t="str">
        <f t="shared" si="2"/>
        <v/>
      </c>
      <c r="L10" s="96" t="str">
        <f t="shared" si="2"/>
        <v/>
      </c>
      <c r="M10" s="73"/>
      <c r="N10" s="91" t="s">
        <v>96</v>
      </c>
      <c r="O10" s="11" t="str">
        <f>'Zadatak-ulazni podaci'!E29</f>
        <v/>
      </c>
      <c r="P10" s="11" t="str">
        <f>'Zadatak-ulazni podaci'!G29</f>
        <v/>
      </c>
      <c r="Q10" s="11" t="str">
        <f>'Zadatak-ulazni podaci'!I29</f>
        <v/>
      </c>
      <c r="R10" s="11">
        <f>'Zadatak-ulazni podaci'!K29</f>
        <v>60</v>
      </c>
      <c r="S10" s="11" t="str">
        <f>'Zadatak-ulazni podaci'!M29</f>
        <v/>
      </c>
      <c r="T10" s="11" t="str">
        <f>'Zadatak-ulazni podaci'!O29</f>
        <v/>
      </c>
      <c r="U10" s="11" t="str">
        <f>'Zadatak-ulazni podaci'!Q29</f>
        <v/>
      </c>
    </row>
    <row r="11" spans="2:25" ht="15.95" customHeight="1" x14ac:dyDescent="0.3">
      <c r="B11" s="239"/>
      <c r="C11" s="158" t="str">
        <f>HLOOKUP(Jezik!$B$6,Jezik!$E$31:'Jezik'!$N$87,1+ 39)</f>
        <v>Koeficijent osetljivosti</v>
      </c>
      <c r="D11" s="110" t="s">
        <v>413</v>
      </c>
      <c r="E11" s="187" t="s">
        <v>452</v>
      </c>
      <c r="F11" s="117" t="str">
        <f t="shared" ref="F11:L11" si="3">IF(O8&lt;&gt;"",(4.34*F9/F20),"")</f>
        <v/>
      </c>
      <c r="G11" s="117" t="str">
        <f t="shared" si="3"/>
        <v/>
      </c>
      <c r="H11" s="117" t="str">
        <f t="shared" si="3"/>
        <v/>
      </c>
      <c r="I11" s="94">
        <f t="shared" si="3"/>
        <v>2.1700000000000008</v>
      </c>
      <c r="J11" s="94" t="str">
        <f t="shared" si="3"/>
        <v/>
      </c>
      <c r="K11" s="94" t="str">
        <f t="shared" si="3"/>
        <v/>
      </c>
      <c r="L11" s="95" t="str">
        <f t="shared" si="3"/>
        <v/>
      </c>
      <c r="N11" s="2" t="s">
        <v>79</v>
      </c>
      <c r="O11" s="11">
        <f>'Zadatak-ulazni podaci'!F31</f>
        <v>1</v>
      </c>
      <c r="P11" s="11">
        <f>'Zadatak-ulazni podaci'!H31</f>
        <v>2</v>
      </c>
      <c r="Q11" s="11">
        <f>'Zadatak-ulazni podaci'!J31</f>
        <v>3</v>
      </c>
      <c r="R11" s="11">
        <f>'Zadatak-ulazni podaci'!L31</f>
        <v>2</v>
      </c>
      <c r="S11" s="11" t="str">
        <f>'Zadatak-ulazni podaci'!N31</f>
        <v/>
      </c>
      <c r="T11" s="11" t="str">
        <f>'Zadatak-ulazni podaci'!P31</f>
        <v/>
      </c>
      <c r="U11" s="11" t="str">
        <f>'Zadatak-ulazni podaci'!R31</f>
        <v/>
      </c>
    </row>
    <row r="12" spans="2:25" ht="15.95" customHeight="1" x14ac:dyDescent="0.3">
      <c r="B12" s="160" t="str">
        <f>HLOOKUP(Jezik!$B$6,Jezik!$E$31:'Jezik'!$N$87,1+ 40)</f>
        <v>Doprinos nivoa buke nesigurnosti</v>
      </c>
      <c r="C12" s="123"/>
      <c r="D12" s="85"/>
      <c r="E12" s="164" t="s">
        <v>342</v>
      </c>
      <c r="F12" s="118" t="str">
        <f t="shared" ref="F12:L12" si="4">IF(O$8&lt;&gt;"",F9*F8,"")</f>
        <v/>
      </c>
      <c r="G12" s="118" t="str">
        <f t="shared" si="4"/>
        <v/>
      </c>
      <c r="H12" s="118" t="str">
        <f t="shared" si="4"/>
        <v/>
      </c>
      <c r="I12" s="93">
        <f t="shared" si="4"/>
        <v>0</v>
      </c>
      <c r="J12" s="93" t="str">
        <f t="shared" si="4"/>
        <v/>
      </c>
      <c r="K12" s="93" t="str">
        <f t="shared" si="4"/>
        <v/>
      </c>
      <c r="L12" s="96" t="str">
        <f t="shared" si="4"/>
        <v/>
      </c>
      <c r="N12" s="2" t="s">
        <v>94</v>
      </c>
      <c r="O12" s="11">
        <f>'Zadatak-ulazni podaci'!V31</f>
        <v>0</v>
      </c>
      <c r="P12" s="11">
        <f>'Zadatak-ulazni podaci'!W31</f>
        <v>0</v>
      </c>
      <c r="Q12" s="11">
        <f>'Zadatak-ulazni podaci'!X31</f>
        <v>0</v>
      </c>
      <c r="R12" s="11">
        <f>'Zadatak-ulazni podaci'!Y31</f>
        <v>0</v>
      </c>
      <c r="S12" s="11">
        <f>'Zadatak-ulazni podaci'!Z31</f>
        <v>0</v>
      </c>
      <c r="T12" s="11">
        <f>'Zadatak-ulazni podaci'!AA31</f>
        <v>0</v>
      </c>
      <c r="U12" s="11">
        <f>'Zadatak-ulazni podaci'!AB31</f>
        <v>0</v>
      </c>
    </row>
    <row r="13" spans="2:25" ht="15.95" customHeight="1" x14ac:dyDescent="0.3">
      <c r="B13" s="162" t="str">
        <f>HLOOKUP(Jezik!$B$6,Jezik!$E$31:'Jezik'!$N$87,1+ 41)</f>
        <v>Doprinos trajanja zadataka nesigurnosti</v>
      </c>
      <c r="C13" s="121"/>
      <c r="D13" s="82"/>
      <c r="E13" s="187" t="s">
        <v>343</v>
      </c>
      <c r="F13" s="119" t="str">
        <f t="shared" ref="F13:L13" si="5">IF(O$8&lt;&gt;"",F11*F10,"")</f>
        <v/>
      </c>
      <c r="G13" s="119" t="str">
        <f t="shared" si="5"/>
        <v/>
      </c>
      <c r="H13" s="119" t="str">
        <f t="shared" si="5"/>
        <v/>
      </c>
      <c r="I13" s="103">
        <f t="shared" si="5"/>
        <v>0</v>
      </c>
      <c r="J13" s="103" t="str">
        <f t="shared" si="5"/>
        <v/>
      </c>
      <c r="K13" s="103" t="str">
        <f t="shared" si="5"/>
        <v/>
      </c>
      <c r="L13" s="103" t="str">
        <f t="shared" si="5"/>
        <v/>
      </c>
      <c r="N13" s="2" t="s">
        <v>95</v>
      </c>
      <c r="O13" s="11">
        <f>'Zadatak-ulazni podaci'!V32</f>
        <v>5.7735026918962602E-2</v>
      </c>
      <c r="P13" s="11">
        <f>'Zadatak-ulazni podaci'!W32</f>
        <v>5.773502691896263E-2</v>
      </c>
      <c r="Q13" s="11">
        <f>'Zadatak-ulazni podaci'!X32</f>
        <v>5.773502691896263E-2</v>
      </c>
      <c r="R13" s="11">
        <f>'Zadatak-ulazni podaci'!Y32</f>
        <v>0</v>
      </c>
      <c r="S13" s="11">
        <f>'Zadatak-ulazni podaci'!Z32</f>
        <v>0</v>
      </c>
      <c r="T13" s="11">
        <f>'Zadatak-ulazni podaci'!AA32</f>
        <v>0</v>
      </c>
      <c r="U13" s="11">
        <f>'Zadatak-ulazni podaci'!AB32</f>
        <v>0</v>
      </c>
    </row>
    <row r="14" spans="2:25" ht="15.95" customHeight="1" x14ac:dyDescent="0.3">
      <c r="B14" s="161" t="str">
        <f>HLOOKUP(Jezik!$B$6,Jezik!$E$31:'Jezik'!$N$87,1+ 42)</f>
        <v>Doprinos nesigurnosti mer. instrument.</v>
      </c>
      <c r="C14" s="163"/>
      <c r="D14" s="88"/>
      <c r="E14" s="188" t="s">
        <v>447</v>
      </c>
      <c r="F14" s="120" t="str">
        <f t="shared" ref="F14:L14" si="6">IF(O8&lt;&gt;"",F9*O14,"")</f>
        <v/>
      </c>
      <c r="G14" s="120" t="str">
        <f t="shared" si="6"/>
        <v/>
      </c>
      <c r="H14" s="120" t="str">
        <f t="shared" si="6"/>
        <v/>
      </c>
      <c r="I14" s="9">
        <f t="shared" si="6"/>
        <v>0.70000000000000029</v>
      </c>
      <c r="J14" s="9" t="str">
        <f t="shared" si="6"/>
        <v/>
      </c>
      <c r="K14" s="9" t="str">
        <f t="shared" si="6"/>
        <v/>
      </c>
      <c r="L14" s="9" t="str">
        <f t="shared" si="6"/>
        <v/>
      </c>
      <c r="N14" s="2" t="s">
        <v>97</v>
      </c>
      <c r="O14" s="2">
        <f>'Zadatak-ulazni podaci'!E25</f>
        <v>0.7</v>
      </c>
      <c r="P14" s="2">
        <f>'Zadatak-ulazni podaci'!G25</f>
        <v>0.7</v>
      </c>
      <c r="Q14" s="2">
        <f>'Zadatak-ulazni podaci'!I25</f>
        <v>0.7</v>
      </c>
      <c r="R14" s="2">
        <f>'Zadatak-ulazni podaci'!K25</f>
        <v>0.7</v>
      </c>
      <c r="S14" s="2">
        <f>'Zadatak-ulazni podaci'!M25</f>
        <v>0</v>
      </c>
      <c r="T14" s="2">
        <f>'Zadatak-ulazni podaci'!O25</f>
        <v>0</v>
      </c>
      <c r="U14" s="2">
        <f>'Zadatak-ulazni podaci'!Q25</f>
        <v>0</v>
      </c>
      <c r="W14" s="2"/>
      <c r="Y14" s="2"/>
    </row>
    <row r="15" spans="2:25" ht="15.95" customHeight="1" x14ac:dyDescent="0.3">
      <c r="B15" s="162" t="str">
        <f>HLOOKUP(Jezik!$B$6,Jezik!$E$31:'Jezik'!$N$87,1+ 43)</f>
        <v>Doprinos nesigurnosti merne pozicije</v>
      </c>
      <c r="C15" s="121"/>
      <c r="D15" s="88"/>
      <c r="E15" s="188" t="s">
        <v>448</v>
      </c>
      <c r="F15" s="120" t="str">
        <f t="shared" ref="F15:L15" si="7">IF(O8&lt;&gt;"",F9*O15,"")</f>
        <v/>
      </c>
      <c r="G15" s="120" t="str">
        <f t="shared" si="7"/>
        <v/>
      </c>
      <c r="H15" s="120" t="str">
        <f t="shared" si="7"/>
        <v/>
      </c>
      <c r="I15" s="9">
        <f t="shared" si="7"/>
        <v>1.0000000000000004</v>
      </c>
      <c r="J15" s="9" t="str">
        <f t="shared" si="7"/>
        <v/>
      </c>
      <c r="K15" s="9" t="str">
        <f t="shared" si="7"/>
        <v/>
      </c>
      <c r="L15" s="9" t="str">
        <f t="shared" si="7"/>
        <v/>
      </c>
      <c r="N15" s="2" t="s">
        <v>98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</row>
    <row r="16" spans="2:25" x14ac:dyDescent="0.2">
      <c r="B16" s="77"/>
      <c r="C16" s="77"/>
      <c r="D16" s="73"/>
      <c r="E16" s="77"/>
      <c r="F16" s="77"/>
      <c r="G16" s="77"/>
      <c r="H16" s="77"/>
      <c r="I16" s="77"/>
      <c r="J16" s="77"/>
      <c r="K16" s="77"/>
      <c r="L16" s="77"/>
      <c r="N16" s="2" t="s">
        <v>283</v>
      </c>
      <c r="O16" s="11" t="str">
        <f>IF(O8&lt;&gt;"",O10+10*LOG10(O11/$J$5),"")</f>
        <v/>
      </c>
      <c r="P16" s="11" t="str">
        <f t="shared" ref="P16:U16" si="8">IF(P8&lt;&gt;"",P10+10*LOG10(P11/$J$5),"")</f>
        <v/>
      </c>
      <c r="Q16" s="11" t="str">
        <f t="shared" si="8"/>
        <v/>
      </c>
      <c r="R16" s="11">
        <f t="shared" si="8"/>
        <v>60</v>
      </c>
      <c r="S16" s="11" t="str">
        <f t="shared" si="8"/>
        <v/>
      </c>
      <c r="T16" s="11" t="str">
        <f t="shared" si="8"/>
        <v/>
      </c>
      <c r="U16" s="11" t="str">
        <f t="shared" si="8"/>
        <v/>
      </c>
    </row>
    <row r="17" spans="2:13" x14ac:dyDescent="0.2">
      <c r="B17" s="243" t="str">
        <f>HLOOKUP(Jezik!$B$6,Jezik!$E$31:'Jezik'!$N$87,1+ 44)</f>
        <v xml:space="preserve">Rezultati </v>
      </c>
      <c r="C17" s="122"/>
      <c r="D17" s="123"/>
      <c r="E17" s="86"/>
      <c r="F17" s="84" t="str">
        <f>F7</f>
        <v>Zadatak 1</v>
      </c>
      <c r="G17" s="90" t="str">
        <f t="shared" ref="G17:L17" si="9">G7</f>
        <v>Zadatak 2</v>
      </c>
      <c r="H17" s="90" t="str">
        <f t="shared" si="9"/>
        <v>Zadatak 3</v>
      </c>
      <c r="I17" s="90" t="str">
        <f t="shared" si="9"/>
        <v>Zadatak 4</v>
      </c>
      <c r="J17" s="90" t="str">
        <f t="shared" si="9"/>
        <v>Zadatak 5</v>
      </c>
      <c r="K17" s="90" t="str">
        <f t="shared" si="9"/>
        <v>Zadatak 6</v>
      </c>
      <c r="L17" s="83" t="str">
        <f t="shared" si="9"/>
        <v>Zadatak 7</v>
      </c>
    </row>
    <row r="18" spans="2:13" ht="30.95" customHeight="1" x14ac:dyDescent="0.2">
      <c r="B18" s="244"/>
      <c r="C18" s="87"/>
      <c r="D18" s="124"/>
      <c r="E18" s="88" t="str">
        <f>'Zadatak-ulazni podaci'!D7</f>
        <v>Ime zadatka</v>
      </c>
      <c r="F18" s="156" t="str">
        <f>IF( 'Zadatak-ulazni podaci'!E7="","",'Zadatak-ulazni podaci'!E7)</f>
        <v>Bušenje 1</v>
      </c>
      <c r="G18" s="115" t="str">
        <f>IF( 'Zadatak-ulazni podaci'!G7="","",'Zadatak-ulazni podaci'!G7)</f>
        <v>Bušenje 2</v>
      </c>
      <c r="H18" s="115" t="str">
        <f>IF( 'Zadatak-ulazni podaci'!I7="","",'Zadatak-ulazni podaci'!I7)</f>
        <v>Brušenje</v>
      </c>
      <c r="I18" s="115" t="str">
        <f>IF( 'Zadatak-ulazni podaci'!K7="","",'Zadatak-ulazni podaci'!K7)</f>
        <v>Planiranje/   pauza</v>
      </c>
      <c r="J18" s="115" t="str">
        <f>IF( 'Zadatak-ulazni podaci'!M7="","",'Zadatak-ulazni podaci'!M7)</f>
        <v/>
      </c>
      <c r="K18" s="115" t="str">
        <f>IF( 'Zadatak-ulazni podaci'!O7="","",'Zadatak-ulazni podaci'!O7)</f>
        <v/>
      </c>
      <c r="L18" s="116" t="str">
        <f>IF( 'Zadatak-ulazni podaci'!Q7="","",'Zadatak-ulazni podaci'!Q7)</f>
        <v/>
      </c>
      <c r="M18" s="91"/>
    </row>
    <row r="19" spans="2:13" ht="15.95" customHeight="1" x14ac:dyDescent="0.35">
      <c r="B19" s="115" t="str">
        <f>HLOOKUP(Jezik!$B$6,Jezik!$E$31:'Jezik'!$N$87,1+ 45)</f>
        <v>Srednji nivo buke (dB)</v>
      </c>
      <c r="C19" s="123"/>
      <c r="D19" s="110" t="s">
        <v>415</v>
      </c>
      <c r="E19" s="7" t="s">
        <v>487</v>
      </c>
      <c r="F19" s="104" t="str">
        <f>IF(O$8&lt;&gt;"",O10,"")</f>
        <v/>
      </c>
      <c r="G19" s="104" t="str">
        <f t="shared" ref="G19:L19" si="10">IF(P$8&lt;&gt;"",P10,"")</f>
        <v/>
      </c>
      <c r="H19" s="104" t="str">
        <f t="shared" si="10"/>
        <v/>
      </c>
      <c r="I19" s="104">
        <f t="shared" si="10"/>
        <v>60</v>
      </c>
      <c r="J19" s="104" t="str">
        <f t="shared" si="10"/>
        <v/>
      </c>
      <c r="K19" s="104" t="str">
        <f t="shared" si="10"/>
        <v/>
      </c>
      <c r="L19" s="104" t="str">
        <f t="shared" si="10"/>
        <v/>
      </c>
    </row>
    <row r="20" spans="2:13" ht="15.95" customHeight="1" x14ac:dyDescent="0.2">
      <c r="B20" s="159" t="str">
        <f>HLOOKUP(Jezik!$B$6,Jezik!$E$31:'Jezik'!$N$87,1+ 46)</f>
        <v>Trajanje (h)</v>
      </c>
      <c r="C20" s="121"/>
      <c r="D20" s="110" t="s">
        <v>416</v>
      </c>
      <c r="E20" s="83" t="s">
        <v>79</v>
      </c>
      <c r="F20" s="104" t="str">
        <f>IF(O$8&lt;&gt;"",O11,"")</f>
        <v/>
      </c>
      <c r="G20" s="104" t="str">
        <f t="shared" ref="G20:L20" si="11">IF(P$8&lt;&gt;"",P11,"")</f>
        <v/>
      </c>
      <c r="H20" s="104" t="str">
        <f t="shared" si="11"/>
        <v/>
      </c>
      <c r="I20" s="104">
        <f t="shared" si="11"/>
        <v>2</v>
      </c>
      <c r="J20" s="104" t="str">
        <f t="shared" si="11"/>
        <v/>
      </c>
      <c r="K20" s="104" t="str">
        <f t="shared" si="11"/>
        <v/>
      </c>
      <c r="L20" s="104" t="str">
        <f t="shared" si="11"/>
        <v/>
      </c>
    </row>
    <row r="21" spans="2:13" ht="15.95" customHeight="1" x14ac:dyDescent="0.3">
      <c r="B21" s="160" t="str">
        <f>HLOOKUP(Jezik!$B$6,Jezik!$E$31:'Jezik'!$N$87,1+ 54)</f>
        <v>Doprinos zadatka m nivou Lex,8h</v>
      </c>
      <c r="C21" s="122"/>
      <c r="D21" s="112" t="s">
        <v>417</v>
      </c>
      <c r="E21" s="198" t="s">
        <v>451</v>
      </c>
      <c r="F21" s="169" t="str">
        <f>IF(O$8&lt;&gt;"",O16,"")</f>
        <v/>
      </c>
      <c r="G21" s="169" t="str">
        <f t="shared" ref="G21:L21" si="12">IF(P$8&lt;&gt;"",P16,"")</f>
        <v/>
      </c>
      <c r="H21" s="169" t="str">
        <f t="shared" si="12"/>
        <v/>
      </c>
      <c r="I21" s="169">
        <f t="shared" si="12"/>
        <v>60</v>
      </c>
      <c r="J21" s="169" t="str">
        <f t="shared" si="12"/>
        <v/>
      </c>
      <c r="K21" s="169" t="str">
        <f t="shared" si="12"/>
        <v/>
      </c>
      <c r="L21" s="170" t="str">
        <f t="shared" si="12"/>
        <v/>
      </c>
    </row>
    <row r="22" spans="2:13" ht="15.95" customHeight="1" x14ac:dyDescent="0.3">
      <c r="B22" s="240" t="str">
        <f>HLOOKUP(Jezik!$B$6,Jezik!$E$31:'Jezik'!$N$87,1+ 47)</f>
        <v>Doprinos nesigurnosti</v>
      </c>
      <c r="C22" s="122" t="str">
        <f>B8</f>
        <v>Nivo buke</v>
      </c>
      <c r="D22" s="86"/>
      <c r="E22" s="164" t="s">
        <v>344</v>
      </c>
      <c r="F22" s="118" t="str">
        <f>IF(O$8&lt;&gt;"",F12^2,"")</f>
        <v/>
      </c>
      <c r="G22" s="118" t="str">
        <f t="shared" ref="G22:L25" si="13">IF(P$8&lt;&gt;"",G12^2,"")</f>
        <v/>
      </c>
      <c r="H22" s="118" t="str">
        <f t="shared" si="13"/>
        <v/>
      </c>
      <c r="I22" s="93">
        <f t="shared" si="13"/>
        <v>0</v>
      </c>
      <c r="J22" s="93" t="str">
        <f t="shared" si="13"/>
        <v/>
      </c>
      <c r="K22" s="93" t="str">
        <f t="shared" si="13"/>
        <v/>
      </c>
      <c r="L22" s="96" t="str">
        <f t="shared" si="13"/>
        <v/>
      </c>
    </row>
    <row r="23" spans="2:13" ht="15.95" customHeight="1" x14ac:dyDescent="0.3">
      <c r="B23" s="241"/>
      <c r="C23" s="81" t="str">
        <f>B10</f>
        <v>Trajanje</v>
      </c>
      <c r="D23" s="82"/>
      <c r="E23" s="187" t="s">
        <v>345</v>
      </c>
      <c r="F23" s="117" t="str">
        <f>IF(O$8&lt;&gt;"",F13^2,"")</f>
        <v/>
      </c>
      <c r="G23" s="117" t="str">
        <f t="shared" si="13"/>
        <v/>
      </c>
      <c r="H23" s="117" t="str">
        <f t="shared" si="13"/>
        <v/>
      </c>
      <c r="I23" s="94">
        <f t="shared" si="13"/>
        <v>0</v>
      </c>
      <c r="J23" s="94"/>
      <c r="K23" s="94"/>
      <c r="L23" s="95" t="str">
        <f t="shared" si="13"/>
        <v/>
      </c>
    </row>
    <row r="24" spans="2:13" ht="15.95" customHeight="1" x14ac:dyDescent="0.3">
      <c r="B24" s="241"/>
      <c r="C24" s="157" t="str">
        <f>HLOOKUP(Jezik!$B$6,Jezik!$E$31:'Jezik'!$N$87,1+ 48)</f>
        <v>Merna instrumentacija</v>
      </c>
      <c r="D24" s="85"/>
      <c r="E24" s="188" t="s">
        <v>449</v>
      </c>
      <c r="F24" s="118" t="str">
        <f>IF(O$8&lt;&gt;"",F14^2,"")</f>
        <v/>
      </c>
      <c r="G24" s="118" t="str">
        <f t="shared" si="13"/>
        <v/>
      </c>
      <c r="H24" s="118" t="str">
        <f t="shared" si="13"/>
        <v/>
      </c>
      <c r="I24" s="93">
        <f t="shared" si="13"/>
        <v>0.49000000000000038</v>
      </c>
      <c r="J24" s="93" t="str">
        <f t="shared" si="13"/>
        <v/>
      </c>
      <c r="K24" s="93" t="str">
        <f t="shared" si="13"/>
        <v/>
      </c>
      <c r="L24" s="96" t="str">
        <f t="shared" si="13"/>
        <v/>
      </c>
    </row>
    <row r="25" spans="2:13" ht="15.95" customHeight="1" x14ac:dyDescent="0.3">
      <c r="B25" s="241"/>
      <c r="C25" s="158" t="str">
        <f>HLOOKUP(Jezik!$B$6,Jezik!$E$31:'Jezik'!$N$87,1+ 49)</f>
        <v>Merna pozicija</v>
      </c>
      <c r="D25" s="82"/>
      <c r="E25" s="188" t="s">
        <v>450</v>
      </c>
      <c r="F25" s="117" t="str">
        <f>IF(O$8&lt;&gt;"",F15^2,"")</f>
        <v/>
      </c>
      <c r="G25" s="117" t="str">
        <f t="shared" si="13"/>
        <v/>
      </c>
      <c r="H25" s="117" t="str">
        <f t="shared" si="13"/>
        <v/>
      </c>
      <c r="I25" s="94">
        <f t="shared" si="13"/>
        <v>1.0000000000000009</v>
      </c>
      <c r="J25" s="94" t="str">
        <f t="shared" si="13"/>
        <v/>
      </c>
      <c r="K25" s="94" t="str">
        <f t="shared" si="13"/>
        <v/>
      </c>
      <c r="L25" s="95" t="str">
        <f t="shared" si="13"/>
        <v/>
      </c>
    </row>
    <row r="26" spans="2:13" ht="15.95" customHeight="1" x14ac:dyDescent="0.3">
      <c r="B26" s="242"/>
      <c r="C26" s="158" t="str">
        <f>HLOOKUP(Jezik!$B$6,Jezik!$E$31:'Jezik'!$N$87,1+ 50)</f>
        <v>Suma po zadatku m</v>
      </c>
      <c r="D26" s="89"/>
      <c r="E26" s="166" t="s">
        <v>281</v>
      </c>
      <c r="F26" s="189" t="str">
        <f t="shared" ref="F26:L26" si="14">IF(O8&lt;&gt;"",SUM(F22:F25),"")</f>
        <v/>
      </c>
      <c r="G26" s="117" t="str">
        <f t="shared" si="14"/>
        <v/>
      </c>
      <c r="H26" s="117" t="str">
        <f t="shared" si="14"/>
        <v/>
      </c>
      <c r="I26" s="94"/>
      <c r="J26" s="94" t="str">
        <f t="shared" si="14"/>
        <v/>
      </c>
      <c r="K26" s="94" t="str">
        <f t="shared" si="14"/>
        <v/>
      </c>
      <c r="L26" s="95" t="str">
        <f t="shared" si="14"/>
        <v/>
      </c>
    </row>
    <row r="27" spans="2:13" ht="5.25" customHeight="1" x14ac:dyDescent="0.25">
      <c r="E27" s="165"/>
      <c r="G27" s="73"/>
      <c r="H27" s="77"/>
      <c r="I27" s="77"/>
      <c r="J27" s="77"/>
      <c r="K27" s="77"/>
      <c r="L27" s="77"/>
    </row>
    <row r="28" spans="2:13" ht="15.75" x14ac:dyDescent="0.3">
      <c r="C28" s="157" t="str">
        <f>HLOOKUP(Jezik!$B$6,Jezik!$E$31:'Jezik'!$N$87,1+ 51)</f>
        <v>Suma za sve zadatke</v>
      </c>
      <c r="D28" s="113" t="s">
        <v>418</v>
      </c>
      <c r="E28" s="167" t="s">
        <v>277</v>
      </c>
      <c r="F28" s="191">
        <f>IF(J4=0,"",SUM(F26:L26))</f>
        <v>0</v>
      </c>
      <c r="G28" s="73"/>
      <c r="J28" s="73"/>
      <c r="K28" s="77"/>
      <c r="L28" s="77"/>
    </row>
    <row r="29" spans="2:13" ht="17.25" customHeight="1" x14ac:dyDescent="0.3">
      <c r="C29" s="5" t="str">
        <f>'Posao ili Ceo dan'!I15</f>
        <v>Kombinovana standardna nesigurnost</v>
      </c>
      <c r="D29" s="114"/>
      <c r="E29" s="167" t="s">
        <v>278</v>
      </c>
      <c r="F29" s="97">
        <f>IF(J4=0,"",SQRT(F28))</f>
        <v>0</v>
      </c>
      <c r="G29" s="78" t="s">
        <v>280</v>
      </c>
      <c r="H29" s="6" t="str">
        <f>'Posao ili Ceo dan'!F29</f>
        <v>Proširena nesigurnost</v>
      </c>
    </row>
    <row r="30" spans="2:13" ht="20.25" customHeight="1" x14ac:dyDescent="0.35">
      <c r="B30" s="80" t="str">
        <f>'Posao ili Ceo dan'!F28</f>
        <v>Dnevni nivo izloženosti buci</v>
      </c>
      <c r="D30" s="113" t="s">
        <v>419</v>
      </c>
      <c r="E30" s="7" t="s">
        <v>279</v>
      </c>
      <c r="F30" s="60">
        <f>E4</f>
        <v>53.979400086720375</v>
      </c>
      <c r="G30" s="107" t="s">
        <v>280</v>
      </c>
      <c r="H30" s="205" t="s">
        <v>495</v>
      </c>
      <c r="K30" s="104">
        <f>IF(J4=0,"",1.65*F29)</f>
        <v>0</v>
      </c>
      <c r="L30" s="80" t="s">
        <v>280</v>
      </c>
    </row>
    <row r="33" spans="7:8" x14ac:dyDescent="0.2">
      <c r="G33" s="2"/>
    </row>
    <row r="34" spans="7:8" x14ac:dyDescent="0.2">
      <c r="G34" s="204"/>
      <c r="H34" s="204"/>
    </row>
    <row r="35" spans="7:8" x14ac:dyDescent="0.2">
      <c r="G35" s="204"/>
      <c r="H35" s="204"/>
    </row>
  </sheetData>
  <mergeCells count="4">
    <mergeCell ref="B8:B9"/>
    <mergeCell ref="B10:B11"/>
    <mergeCell ref="B22:B26"/>
    <mergeCell ref="B17:B18"/>
  </mergeCells>
  <phoneticPr fontId="0" type="noConversion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12"/>
  <sheetViews>
    <sheetView workbookViewId="0">
      <selection activeCell="N8" sqref="N8"/>
    </sheetView>
  </sheetViews>
  <sheetFormatPr defaultColWidth="11.42578125" defaultRowHeight="12.75" x14ac:dyDescent="0.2"/>
  <cols>
    <col min="1" max="1" width="4.85546875" style="75" customWidth="1"/>
    <col min="2" max="2" width="22.28515625" style="126" customWidth="1"/>
    <col min="3" max="3" width="3.42578125" style="126" customWidth="1"/>
    <col min="4" max="4" width="20.28515625" style="75" customWidth="1"/>
    <col min="5" max="5" width="34.42578125" style="75" customWidth="1"/>
    <col min="6" max="6" width="17.140625" style="75" customWidth="1"/>
    <col min="7" max="7" width="16.140625" style="75" customWidth="1"/>
    <col min="8" max="16384" width="11.42578125" style="75"/>
  </cols>
  <sheetData>
    <row r="1" spans="1:14" x14ac:dyDescent="0.2">
      <c r="C1" s="127"/>
    </row>
    <row r="2" spans="1:14" x14ac:dyDescent="0.2">
      <c r="B2" s="195" t="s">
        <v>602</v>
      </c>
      <c r="C2" s="127"/>
      <c r="E2" s="207" t="s">
        <v>612</v>
      </c>
      <c r="F2" s="207" t="s">
        <v>613</v>
      </c>
      <c r="G2" s="207" t="s">
        <v>614</v>
      </c>
      <c r="H2" s="207" t="s">
        <v>615</v>
      </c>
      <c r="I2" s="207" t="s">
        <v>616</v>
      </c>
      <c r="J2" s="207" t="s">
        <v>617</v>
      </c>
      <c r="K2" s="207" t="s">
        <v>618</v>
      </c>
      <c r="L2" s="207" t="s">
        <v>619</v>
      </c>
      <c r="M2" s="207" t="s">
        <v>620</v>
      </c>
      <c r="N2" s="207" t="s">
        <v>621</v>
      </c>
    </row>
    <row r="3" spans="1:14" ht="13.5" thickBot="1" x14ac:dyDescent="0.25">
      <c r="B3" s="194" t="s">
        <v>603</v>
      </c>
      <c r="D3" s="126"/>
    </row>
    <row r="4" spans="1:14" s="136" customFormat="1" ht="13.5" customHeight="1" thickBot="1" x14ac:dyDescent="0.25">
      <c r="B4" s="194" t="s">
        <v>604</v>
      </c>
      <c r="C4" s="127"/>
      <c r="D4" s="206" t="s">
        <v>611</v>
      </c>
      <c r="E4" s="137" t="s">
        <v>125</v>
      </c>
      <c r="F4" s="138" t="s">
        <v>126</v>
      </c>
      <c r="G4" s="139" t="s">
        <v>137</v>
      </c>
      <c r="H4" s="138" t="s">
        <v>498</v>
      </c>
      <c r="I4" s="138"/>
      <c r="J4" s="139"/>
      <c r="K4" s="138"/>
      <c r="L4" s="139"/>
      <c r="M4" s="138"/>
      <c r="N4" s="140"/>
    </row>
    <row r="5" spans="1:14" ht="12.95" customHeight="1" thickBot="1" x14ac:dyDescent="0.25">
      <c r="B5" s="194" t="s">
        <v>605</v>
      </c>
      <c r="D5" s="126" t="s">
        <v>37</v>
      </c>
      <c r="E5" s="130" t="s">
        <v>391</v>
      </c>
      <c r="F5" s="75" t="s">
        <v>392</v>
      </c>
      <c r="G5" s="71" t="s">
        <v>393</v>
      </c>
      <c r="H5" s="130" t="s">
        <v>499</v>
      </c>
    </row>
    <row r="6" spans="1:14" ht="12.95" customHeight="1" thickBot="1" x14ac:dyDescent="0.25">
      <c r="B6" s="143" t="str">
        <f>Uvod!C8</f>
        <v>Srpski</v>
      </c>
      <c r="D6" s="126" t="s">
        <v>38</v>
      </c>
      <c r="E6" s="75" t="s">
        <v>445</v>
      </c>
      <c r="F6" s="75" t="s">
        <v>437</v>
      </c>
      <c r="G6" s="71" t="s">
        <v>446</v>
      </c>
      <c r="H6" s="130" t="s">
        <v>500</v>
      </c>
    </row>
    <row r="7" spans="1:14" ht="12.95" customHeight="1" thickBot="1" x14ac:dyDescent="0.25">
      <c r="D7" s="126" t="s">
        <v>39</v>
      </c>
      <c r="E7" s="75" t="s">
        <v>44</v>
      </c>
      <c r="F7" s="75" t="s">
        <v>127</v>
      </c>
      <c r="G7" s="71" t="s">
        <v>140</v>
      </c>
      <c r="H7" s="130" t="s">
        <v>501</v>
      </c>
    </row>
    <row r="8" spans="1:14" ht="12.95" customHeight="1" x14ac:dyDescent="0.2">
      <c r="B8" s="128" t="s">
        <v>606</v>
      </c>
      <c r="D8" s="126" t="s">
        <v>40</v>
      </c>
      <c r="E8" s="75" t="s">
        <v>57</v>
      </c>
      <c r="F8" s="75" t="s">
        <v>128</v>
      </c>
      <c r="G8" s="141" t="s">
        <v>141</v>
      </c>
      <c r="H8" s="130" t="s">
        <v>502</v>
      </c>
    </row>
    <row r="9" spans="1:14" ht="12.95" customHeight="1" thickBot="1" x14ac:dyDescent="0.25">
      <c r="B9" s="129" t="s">
        <v>607</v>
      </c>
      <c r="D9" s="126" t="s">
        <v>41</v>
      </c>
      <c r="E9" s="75" t="s">
        <v>55</v>
      </c>
      <c r="F9" s="75" t="s">
        <v>129</v>
      </c>
      <c r="G9" s="130" t="s">
        <v>151</v>
      </c>
      <c r="H9" s="130" t="s">
        <v>503</v>
      </c>
    </row>
    <row r="10" spans="1:14" ht="12.95" customHeight="1" x14ac:dyDescent="0.2">
      <c r="A10" s="126">
        <v>1</v>
      </c>
      <c r="B10" s="142" t="s">
        <v>125</v>
      </c>
      <c r="D10" s="126" t="s">
        <v>42</v>
      </c>
      <c r="E10" s="75" t="s">
        <v>59</v>
      </c>
      <c r="F10" s="75" t="s">
        <v>130</v>
      </c>
      <c r="G10" s="71" t="s">
        <v>142</v>
      </c>
      <c r="H10" s="71" t="s">
        <v>504</v>
      </c>
    </row>
    <row r="11" spans="1:14" ht="12.95" customHeight="1" x14ac:dyDescent="0.2">
      <c r="A11" s="126">
        <v>2</v>
      </c>
      <c r="B11" s="142" t="s">
        <v>126</v>
      </c>
      <c r="D11" s="126" t="s">
        <v>43</v>
      </c>
      <c r="E11" s="75" t="s">
        <v>4</v>
      </c>
      <c r="F11" s="75" t="s">
        <v>131</v>
      </c>
      <c r="G11" s="71" t="s">
        <v>143</v>
      </c>
      <c r="H11" s="130" t="s">
        <v>505</v>
      </c>
    </row>
    <row r="12" spans="1:14" ht="12.95" customHeight="1" x14ac:dyDescent="0.2">
      <c r="A12" s="126">
        <v>3</v>
      </c>
      <c r="B12" s="142" t="s">
        <v>137</v>
      </c>
      <c r="D12" s="126" t="s">
        <v>107</v>
      </c>
      <c r="E12" s="75" t="s">
        <v>138</v>
      </c>
      <c r="F12" s="75" t="s">
        <v>138</v>
      </c>
      <c r="G12" s="71" t="s">
        <v>153</v>
      </c>
      <c r="H12" s="71" t="s">
        <v>153</v>
      </c>
    </row>
    <row r="13" spans="1:14" ht="12.95" customHeight="1" x14ac:dyDescent="0.2">
      <c r="A13" s="126">
        <v>4</v>
      </c>
      <c r="B13" s="142" t="s">
        <v>498</v>
      </c>
      <c r="D13" s="126" t="s">
        <v>108</v>
      </c>
      <c r="E13" s="125" t="s">
        <v>106</v>
      </c>
      <c r="F13" s="75" t="s">
        <v>132</v>
      </c>
      <c r="G13" s="71" t="s">
        <v>152</v>
      </c>
      <c r="H13" s="130" t="s">
        <v>506</v>
      </c>
    </row>
    <row r="14" spans="1:14" ht="12.95" customHeight="1" x14ac:dyDescent="0.2">
      <c r="A14" s="126">
        <v>5</v>
      </c>
      <c r="B14" s="131"/>
      <c r="D14" s="126" t="s">
        <v>109</v>
      </c>
      <c r="E14" s="75" t="s">
        <v>394</v>
      </c>
      <c r="F14" s="75" t="s">
        <v>395</v>
      </c>
      <c r="G14" s="71" t="s">
        <v>396</v>
      </c>
      <c r="H14" s="130" t="s">
        <v>507</v>
      </c>
    </row>
    <row r="15" spans="1:14" ht="12.95" customHeight="1" x14ac:dyDescent="0.2">
      <c r="A15" s="126">
        <v>6</v>
      </c>
      <c r="B15" s="131"/>
      <c r="D15" s="126" t="s">
        <v>110</v>
      </c>
      <c r="E15" s="75" t="s">
        <v>425</v>
      </c>
      <c r="F15" s="75" t="s">
        <v>426</v>
      </c>
      <c r="G15" s="71" t="s">
        <v>427</v>
      </c>
      <c r="H15" s="130" t="s">
        <v>508</v>
      </c>
    </row>
    <row r="16" spans="1:14" ht="12.95" customHeight="1" x14ac:dyDescent="0.2">
      <c r="A16" s="126">
        <v>7</v>
      </c>
      <c r="B16" s="131"/>
      <c r="D16" s="126" t="s">
        <v>111</v>
      </c>
      <c r="E16" s="125" t="s">
        <v>47</v>
      </c>
      <c r="F16" s="75" t="s">
        <v>9</v>
      </c>
      <c r="G16" s="71" t="s">
        <v>144</v>
      </c>
      <c r="H16" s="130" t="s">
        <v>509</v>
      </c>
    </row>
    <row r="17" spans="1:14" ht="12.95" customHeight="1" x14ac:dyDescent="0.2">
      <c r="A17" s="126">
        <v>8</v>
      </c>
      <c r="B17" s="131"/>
      <c r="D17" s="126" t="s">
        <v>112</v>
      </c>
      <c r="E17" s="125" t="s">
        <v>424</v>
      </c>
      <c r="F17" s="75" t="s">
        <v>133</v>
      </c>
      <c r="G17" s="71" t="s">
        <v>150</v>
      </c>
      <c r="H17" s="130" t="s">
        <v>510</v>
      </c>
    </row>
    <row r="18" spans="1:14" ht="12.95" customHeight="1" x14ac:dyDescent="0.2">
      <c r="A18" s="126">
        <v>9</v>
      </c>
      <c r="B18" s="131"/>
      <c r="D18" s="126" t="s">
        <v>113</v>
      </c>
      <c r="E18" s="125" t="s">
        <v>397</v>
      </c>
      <c r="F18" s="125" t="s">
        <v>397</v>
      </c>
      <c r="G18" s="71" t="s">
        <v>398</v>
      </c>
      <c r="H18" s="125" t="s">
        <v>511</v>
      </c>
    </row>
    <row r="19" spans="1:14" ht="12.95" customHeight="1" thickBot="1" x14ac:dyDescent="0.25">
      <c r="A19" s="126">
        <v>10</v>
      </c>
      <c r="B19" s="132"/>
      <c r="D19" s="126" t="s">
        <v>114</v>
      </c>
      <c r="E19" s="125" t="s">
        <v>409</v>
      </c>
      <c r="F19" s="125" t="s">
        <v>409</v>
      </c>
      <c r="G19" s="71" t="s">
        <v>410</v>
      </c>
      <c r="H19" s="125" t="s">
        <v>512</v>
      </c>
    </row>
    <row r="20" spans="1:14" ht="12.95" customHeight="1" x14ac:dyDescent="0.2">
      <c r="D20" s="126" t="s">
        <v>115</v>
      </c>
      <c r="E20" s="125" t="s">
        <v>399</v>
      </c>
      <c r="F20" s="125" t="s">
        <v>399</v>
      </c>
      <c r="G20" s="71" t="s">
        <v>400</v>
      </c>
      <c r="H20" s="125" t="s">
        <v>513</v>
      </c>
    </row>
    <row r="21" spans="1:14" ht="12.95" customHeight="1" x14ac:dyDescent="0.2">
      <c r="D21" s="126" t="s">
        <v>116</v>
      </c>
      <c r="E21" s="125" t="s">
        <v>401</v>
      </c>
      <c r="F21" s="125" t="s">
        <v>402</v>
      </c>
      <c r="G21" s="71" t="s">
        <v>403</v>
      </c>
      <c r="H21" s="130" t="s">
        <v>514</v>
      </c>
    </row>
    <row r="22" spans="1:14" ht="12.95" customHeight="1" x14ac:dyDescent="0.2">
      <c r="B22" s="248" t="s">
        <v>609</v>
      </c>
      <c r="C22" s="247"/>
      <c r="D22" s="126" t="s">
        <v>117</v>
      </c>
      <c r="E22" s="125" t="s">
        <v>6</v>
      </c>
      <c r="F22" s="125" t="s">
        <v>134</v>
      </c>
      <c r="G22" s="71" t="s">
        <v>145</v>
      </c>
      <c r="H22" s="130" t="s">
        <v>515</v>
      </c>
    </row>
    <row r="23" spans="1:14" ht="12.95" customHeight="1" x14ac:dyDescent="0.2">
      <c r="B23" s="127"/>
      <c r="D23" s="126" t="s">
        <v>118</v>
      </c>
      <c r="E23" s="125" t="s">
        <v>36</v>
      </c>
      <c r="F23" s="125" t="s">
        <v>135</v>
      </c>
      <c r="G23" s="71" t="s">
        <v>146</v>
      </c>
      <c r="H23" s="130" t="s">
        <v>516</v>
      </c>
    </row>
    <row r="24" spans="1:14" ht="12.95" customHeight="1" x14ac:dyDescent="0.2">
      <c r="D24" s="126" t="s">
        <v>119</v>
      </c>
      <c r="E24" s="125" t="s">
        <v>46</v>
      </c>
      <c r="F24" s="125" t="s">
        <v>136</v>
      </c>
      <c r="G24" s="71" t="s">
        <v>147</v>
      </c>
      <c r="H24" s="130" t="s">
        <v>517</v>
      </c>
    </row>
    <row r="25" spans="1:14" ht="12.95" customHeight="1" x14ac:dyDescent="0.2">
      <c r="D25" s="126" t="s">
        <v>120</v>
      </c>
      <c r="E25" s="125" t="s">
        <v>386</v>
      </c>
      <c r="F25" s="125" t="s">
        <v>386</v>
      </c>
      <c r="G25" s="71" t="s">
        <v>387</v>
      </c>
      <c r="H25" s="130" t="s">
        <v>518</v>
      </c>
    </row>
    <row r="26" spans="1:14" ht="12.95" customHeight="1" x14ac:dyDescent="0.2">
      <c r="D26" s="126" t="s">
        <v>121</v>
      </c>
      <c r="E26" s="125" t="s">
        <v>388</v>
      </c>
      <c r="F26" s="125" t="s">
        <v>389</v>
      </c>
      <c r="G26" s="71" t="s">
        <v>390</v>
      </c>
      <c r="H26" s="130" t="s">
        <v>519</v>
      </c>
    </row>
    <row r="27" spans="1:14" ht="12.95" customHeight="1" x14ac:dyDescent="0.2">
      <c r="D27" s="126" t="s">
        <v>122</v>
      </c>
      <c r="E27" s="125" t="s">
        <v>404</v>
      </c>
      <c r="F27" s="125" t="s">
        <v>405</v>
      </c>
      <c r="G27" s="71" t="s">
        <v>406</v>
      </c>
      <c r="H27" s="130" t="s">
        <v>520</v>
      </c>
    </row>
    <row r="28" spans="1:14" ht="12.95" customHeight="1" x14ac:dyDescent="0.2">
      <c r="D28" s="126" t="s">
        <v>123</v>
      </c>
      <c r="E28" s="125" t="s">
        <v>7</v>
      </c>
      <c r="F28" s="125" t="s">
        <v>139</v>
      </c>
      <c r="G28" s="71" t="s">
        <v>148</v>
      </c>
      <c r="H28" s="130" t="s">
        <v>574</v>
      </c>
    </row>
    <row r="29" spans="1:14" ht="12.95" customHeight="1" x14ac:dyDescent="0.2">
      <c r="D29" s="126" t="s">
        <v>124</v>
      </c>
      <c r="E29" s="125" t="s">
        <v>428</v>
      </c>
      <c r="F29" s="125" t="s">
        <v>429</v>
      </c>
      <c r="G29" s="71" t="s">
        <v>149</v>
      </c>
      <c r="H29" s="130" t="s">
        <v>521</v>
      </c>
    </row>
    <row r="30" spans="1:14" ht="12.95" customHeight="1" thickBot="1" x14ac:dyDescent="0.25"/>
    <row r="31" spans="1:14" ht="12.95" customHeight="1" thickBot="1" x14ac:dyDescent="0.25">
      <c r="D31" s="133" t="str">
        <f>D4</f>
        <v>JEZIK</v>
      </c>
      <c r="E31" s="134" t="str">
        <f t="shared" ref="E31:N31" si="0">E4</f>
        <v>ENGLISH</v>
      </c>
      <c r="F31" s="134" t="str">
        <f t="shared" si="0"/>
        <v>FRENCH</v>
      </c>
      <c r="G31" s="134" t="str">
        <f t="shared" si="0"/>
        <v>GERMAN</v>
      </c>
      <c r="H31" s="134" t="str">
        <f t="shared" si="0"/>
        <v>SRPSKI</v>
      </c>
      <c r="I31" s="134">
        <f t="shared" si="0"/>
        <v>0</v>
      </c>
      <c r="J31" s="134">
        <f t="shared" si="0"/>
        <v>0</v>
      </c>
      <c r="K31" s="134">
        <f t="shared" si="0"/>
        <v>0</v>
      </c>
      <c r="L31" s="134">
        <f t="shared" si="0"/>
        <v>0</v>
      </c>
      <c r="M31" s="134">
        <f t="shared" si="0"/>
        <v>0</v>
      </c>
      <c r="N31" s="135">
        <f t="shared" si="0"/>
        <v>0</v>
      </c>
    </row>
    <row r="32" spans="1:14" ht="12.95" customHeight="1" x14ac:dyDescent="0.2">
      <c r="B32" s="246" t="s">
        <v>608</v>
      </c>
      <c r="C32" s="247"/>
      <c r="D32" s="126" t="s">
        <v>37</v>
      </c>
      <c r="E32" s="71" t="s">
        <v>441</v>
      </c>
      <c r="F32" s="75" t="s">
        <v>438</v>
      </c>
      <c r="G32" s="71" t="s">
        <v>436</v>
      </c>
      <c r="H32" s="75" t="s">
        <v>522</v>
      </c>
    </row>
    <row r="33" spans="2:8" x14ac:dyDescent="0.2">
      <c r="B33" s="127"/>
      <c r="D33" s="126" t="s">
        <v>38</v>
      </c>
      <c r="E33" s="71" t="s">
        <v>29</v>
      </c>
      <c r="F33" s="75" t="s">
        <v>188</v>
      </c>
      <c r="G33" s="71" t="s">
        <v>235</v>
      </c>
      <c r="H33" s="75" t="s">
        <v>523</v>
      </c>
    </row>
    <row r="34" spans="2:8" x14ac:dyDescent="0.2">
      <c r="D34" s="126" t="s">
        <v>39</v>
      </c>
      <c r="E34" s="71" t="s">
        <v>190</v>
      </c>
      <c r="F34" s="75" t="s">
        <v>191</v>
      </c>
      <c r="G34" s="71" t="s">
        <v>347</v>
      </c>
      <c r="H34" s="75" t="s">
        <v>524</v>
      </c>
    </row>
    <row r="35" spans="2:8" x14ac:dyDescent="0.2">
      <c r="D35" s="126" t="s">
        <v>40</v>
      </c>
      <c r="E35" s="71" t="s">
        <v>56</v>
      </c>
      <c r="F35" s="75" t="s">
        <v>189</v>
      </c>
      <c r="G35" s="71" t="s">
        <v>234</v>
      </c>
      <c r="H35" s="75" t="s">
        <v>525</v>
      </c>
    </row>
    <row r="36" spans="2:8" x14ac:dyDescent="0.2">
      <c r="D36" s="126" t="s">
        <v>41</v>
      </c>
      <c r="E36" s="71" t="s">
        <v>372</v>
      </c>
      <c r="F36" s="75" t="s">
        <v>371</v>
      </c>
      <c r="G36" s="71" t="s">
        <v>236</v>
      </c>
      <c r="H36" s="75" t="s">
        <v>526</v>
      </c>
    </row>
    <row r="37" spans="2:8" x14ac:dyDescent="0.2">
      <c r="D37" s="126" t="s">
        <v>42</v>
      </c>
      <c r="E37" s="71" t="s">
        <v>91</v>
      </c>
      <c r="F37" s="75" t="s">
        <v>192</v>
      </c>
      <c r="G37" s="71" t="s">
        <v>237</v>
      </c>
      <c r="H37" s="75" t="s">
        <v>527</v>
      </c>
    </row>
    <row r="38" spans="2:8" x14ac:dyDescent="0.2">
      <c r="D38" s="126" t="s">
        <v>43</v>
      </c>
      <c r="E38" s="71" t="s">
        <v>481</v>
      </c>
      <c r="F38" s="75" t="s">
        <v>482</v>
      </c>
      <c r="G38" s="71" t="s">
        <v>483</v>
      </c>
      <c r="H38" s="75" t="s">
        <v>528</v>
      </c>
    </row>
    <row r="39" spans="2:8" x14ac:dyDescent="0.2">
      <c r="D39" s="126" t="s">
        <v>107</v>
      </c>
      <c r="E39" s="71" t="s">
        <v>90</v>
      </c>
      <c r="F39" s="75" t="s">
        <v>193</v>
      </c>
      <c r="G39" s="71" t="s">
        <v>238</v>
      </c>
      <c r="H39" s="75" t="s">
        <v>529</v>
      </c>
    </row>
    <row r="40" spans="2:8" x14ac:dyDescent="0.2">
      <c r="D40" s="126" t="s">
        <v>108</v>
      </c>
      <c r="E40" s="71" t="s">
        <v>420</v>
      </c>
      <c r="F40" s="75" t="s">
        <v>421</v>
      </c>
      <c r="G40" s="71" t="s">
        <v>422</v>
      </c>
      <c r="H40" s="75" t="s">
        <v>530</v>
      </c>
    </row>
    <row r="41" spans="2:8" x14ac:dyDescent="0.2">
      <c r="D41" s="126" t="s">
        <v>109</v>
      </c>
      <c r="E41" s="71" t="s">
        <v>49</v>
      </c>
      <c r="F41" s="75" t="s">
        <v>194</v>
      </c>
      <c r="G41" s="71" t="s">
        <v>348</v>
      </c>
      <c r="H41" s="75" t="s">
        <v>531</v>
      </c>
    </row>
    <row r="42" spans="2:8" x14ac:dyDescent="0.2">
      <c r="D42" s="126" t="s">
        <v>110</v>
      </c>
      <c r="E42" s="71" t="s">
        <v>50</v>
      </c>
      <c r="F42" s="75" t="s">
        <v>195</v>
      </c>
      <c r="G42" s="71" t="s">
        <v>349</v>
      </c>
      <c r="H42" s="75" t="s">
        <v>532</v>
      </c>
    </row>
    <row r="43" spans="2:8" x14ac:dyDescent="0.2">
      <c r="D43" s="126" t="s">
        <v>111</v>
      </c>
      <c r="E43" s="71" t="s">
        <v>77</v>
      </c>
      <c r="F43" s="75" t="s">
        <v>196</v>
      </c>
      <c r="G43" s="71" t="s">
        <v>350</v>
      </c>
      <c r="H43" s="75" t="s">
        <v>533</v>
      </c>
    </row>
    <row r="44" spans="2:8" x14ac:dyDescent="0.2">
      <c r="D44" s="126" t="s">
        <v>112</v>
      </c>
      <c r="E44" s="71" t="s">
        <v>51</v>
      </c>
      <c r="F44" s="75" t="s">
        <v>197</v>
      </c>
      <c r="G44" s="71" t="s">
        <v>351</v>
      </c>
      <c r="H44" s="75" t="s">
        <v>534</v>
      </c>
    </row>
    <row r="45" spans="2:8" x14ac:dyDescent="0.2">
      <c r="D45" s="126" t="s">
        <v>113</v>
      </c>
      <c r="E45" s="71" t="s">
        <v>52</v>
      </c>
      <c r="F45" s="75" t="s">
        <v>198</v>
      </c>
      <c r="G45" s="71" t="s">
        <v>352</v>
      </c>
      <c r="H45" s="75" t="s">
        <v>535</v>
      </c>
    </row>
    <row r="46" spans="2:8" ht="13.5" customHeight="1" x14ac:dyDescent="0.2">
      <c r="D46" s="126" t="s">
        <v>114</v>
      </c>
      <c r="E46" s="71" t="s">
        <v>53</v>
      </c>
      <c r="F46" s="75" t="s">
        <v>199</v>
      </c>
      <c r="G46" s="71" t="s">
        <v>353</v>
      </c>
      <c r="H46" s="75" t="s">
        <v>536</v>
      </c>
    </row>
    <row r="47" spans="2:8" x14ac:dyDescent="0.2">
      <c r="D47" s="126" t="s">
        <v>115</v>
      </c>
      <c r="E47" s="71" t="s">
        <v>54</v>
      </c>
      <c r="F47" s="75" t="s">
        <v>200</v>
      </c>
      <c r="G47" s="71" t="s">
        <v>354</v>
      </c>
      <c r="H47" s="75" t="s">
        <v>537</v>
      </c>
    </row>
    <row r="48" spans="2:8" x14ac:dyDescent="0.2">
      <c r="D48" s="126" t="s">
        <v>116</v>
      </c>
      <c r="E48" s="71" t="s">
        <v>89</v>
      </c>
      <c r="F48" s="75" t="s">
        <v>201</v>
      </c>
      <c r="G48" s="71" t="s">
        <v>355</v>
      </c>
      <c r="H48" s="75" t="s">
        <v>538</v>
      </c>
    </row>
    <row r="49" spans="2:8" x14ac:dyDescent="0.2">
      <c r="D49" s="126" t="s">
        <v>117</v>
      </c>
      <c r="E49" s="71" t="s">
        <v>163</v>
      </c>
      <c r="F49" s="75" t="s">
        <v>206</v>
      </c>
      <c r="G49" s="71" t="s">
        <v>239</v>
      </c>
      <c r="H49" s="75" t="s">
        <v>539</v>
      </c>
    </row>
    <row r="50" spans="2:8" x14ac:dyDescent="0.2">
      <c r="D50" s="126" t="s">
        <v>118</v>
      </c>
      <c r="E50" s="71" t="s">
        <v>164</v>
      </c>
      <c r="F50" s="75" t="s">
        <v>208</v>
      </c>
      <c r="G50" s="71" t="s">
        <v>262</v>
      </c>
      <c r="H50" s="75" t="s">
        <v>504</v>
      </c>
    </row>
    <row r="51" spans="2:8" x14ac:dyDescent="0.2">
      <c r="D51" s="126" t="s">
        <v>119</v>
      </c>
      <c r="E51" s="71" t="s">
        <v>165</v>
      </c>
      <c r="F51" s="75" t="s">
        <v>207</v>
      </c>
      <c r="G51" s="71" t="s">
        <v>263</v>
      </c>
      <c r="H51" s="75" t="s">
        <v>540</v>
      </c>
    </row>
    <row r="52" spans="2:8" x14ac:dyDescent="0.2">
      <c r="D52" s="126" t="s">
        <v>120</v>
      </c>
      <c r="E52" s="71" t="s">
        <v>160</v>
      </c>
      <c r="F52" s="75" t="s">
        <v>202</v>
      </c>
      <c r="G52" s="71" t="s">
        <v>260</v>
      </c>
      <c r="H52" s="75" t="s">
        <v>541</v>
      </c>
    </row>
    <row r="53" spans="2:8" ht="14.25" customHeight="1" x14ac:dyDescent="0.2">
      <c r="D53" s="126" t="s">
        <v>121</v>
      </c>
      <c r="E53" s="71" t="s">
        <v>161</v>
      </c>
      <c r="F53" s="75" t="s">
        <v>203</v>
      </c>
      <c r="G53" s="71" t="s">
        <v>264</v>
      </c>
      <c r="H53" s="75" t="s">
        <v>542</v>
      </c>
    </row>
    <row r="54" spans="2:8" x14ac:dyDescent="0.2">
      <c r="D54" s="126" t="s">
        <v>122</v>
      </c>
      <c r="E54" s="71" t="s">
        <v>76</v>
      </c>
      <c r="F54" s="75" t="s">
        <v>286</v>
      </c>
      <c r="G54" s="71" t="s">
        <v>240</v>
      </c>
      <c r="H54" s="75" t="s">
        <v>545</v>
      </c>
    </row>
    <row r="55" spans="2:8" x14ac:dyDescent="0.2">
      <c r="D55" s="126" t="s">
        <v>123</v>
      </c>
      <c r="E55" s="71" t="s">
        <v>430</v>
      </c>
      <c r="F55" s="75" t="s">
        <v>431</v>
      </c>
      <c r="G55" s="71" t="s">
        <v>432</v>
      </c>
      <c r="H55" s="75" t="s">
        <v>543</v>
      </c>
    </row>
    <row r="56" spans="2:8" x14ac:dyDescent="0.2">
      <c r="D56" s="126" t="s">
        <v>124</v>
      </c>
      <c r="E56" s="71" t="s">
        <v>75</v>
      </c>
      <c r="F56" s="75" t="s">
        <v>204</v>
      </c>
      <c r="G56" s="71" t="s">
        <v>241</v>
      </c>
      <c r="H56" s="75" t="s">
        <v>544</v>
      </c>
    </row>
    <row r="57" spans="2:8" x14ac:dyDescent="0.2">
      <c r="D57" s="126" t="s">
        <v>154</v>
      </c>
      <c r="E57" s="71" t="s">
        <v>162</v>
      </c>
      <c r="F57" s="75" t="s">
        <v>205</v>
      </c>
      <c r="G57" s="71" t="s">
        <v>266</v>
      </c>
      <c r="H57" s="75" t="s">
        <v>546</v>
      </c>
    </row>
    <row r="58" spans="2:8" x14ac:dyDescent="0.2">
      <c r="D58" s="126" t="s">
        <v>155</v>
      </c>
      <c r="E58" s="71" t="s">
        <v>484</v>
      </c>
      <c r="F58" s="71" t="s">
        <v>485</v>
      </c>
      <c r="G58" s="71" t="s">
        <v>486</v>
      </c>
      <c r="H58" s="75" t="s">
        <v>547</v>
      </c>
    </row>
    <row r="59" spans="2:8" x14ac:dyDescent="0.2">
      <c r="D59" s="126" t="s">
        <v>156</v>
      </c>
      <c r="E59" s="71" t="s">
        <v>68</v>
      </c>
      <c r="F59" s="75" t="s">
        <v>210</v>
      </c>
      <c r="G59" s="71" t="s">
        <v>242</v>
      </c>
      <c r="H59" s="75" t="s">
        <v>548</v>
      </c>
    </row>
    <row r="60" spans="2:8" x14ac:dyDescent="0.2">
      <c r="D60" s="126" t="s">
        <v>157</v>
      </c>
      <c r="E60" s="71" t="s">
        <v>433</v>
      </c>
      <c r="F60" s="75" t="s">
        <v>434</v>
      </c>
      <c r="G60" s="71" t="s">
        <v>435</v>
      </c>
      <c r="H60" s="75" t="s">
        <v>549</v>
      </c>
    </row>
    <row r="61" spans="2:8" ht="13.5" thickBot="1" x14ac:dyDescent="0.25">
      <c r="D61" s="126" t="s">
        <v>158</v>
      </c>
      <c r="E61" s="71" t="s">
        <v>69</v>
      </c>
      <c r="F61" s="75" t="s">
        <v>209</v>
      </c>
      <c r="G61" s="71" t="s">
        <v>243</v>
      </c>
      <c r="H61" s="75" t="s">
        <v>550</v>
      </c>
    </row>
    <row r="62" spans="2:8" ht="13.5" thickBot="1" x14ac:dyDescent="0.25">
      <c r="B62" s="218" t="s">
        <v>610</v>
      </c>
      <c r="C62" s="245"/>
      <c r="D62" s="126" t="s">
        <v>159</v>
      </c>
      <c r="E62" s="71" t="s">
        <v>78</v>
      </c>
      <c r="F62" s="71" t="s">
        <v>211</v>
      </c>
      <c r="G62" s="71" t="s">
        <v>244</v>
      </c>
      <c r="H62" s="75" t="s">
        <v>551</v>
      </c>
    </row>
    <row r="63" spans="2:8" x14ac:dyDescent="0.2">
      <c r="B63" s="127"/>
      <c r="D63" s="126" t="s">
        <v>166</v>
      </c>
      <c r="E63" s="71" t="s">
        <v>92</v>
      </c>
      <c r="F63" s="71" t="s">
        <v>212</v>
      </c>
      <c r="G63" s="71" t="s">
        <v>245</v>
      </c>
      <c r="H63" s="75" t="s">
        <v>579</v>
      </c>
    </row>
    <row r="64" spans="2:8" x14ac:dyDescent="0.2">
      <c r="D64" s="126" t="s">
        <v>167</v>
      </c>
      <c r="E64" s="71" t="s">
        <v>101</v>
      </c>
      <c r="F64" s="71" t="s">
        <v>213</v>
      </c>
      <c r="G64" s="71" t="s">
        <v>356</v>
      </c>
      <c r="H64" s="75" t="s">
        <v>552</v>
      </c>
    </row>
    <row r="65" spans="4:8" x14ac:dyDescent="0.2">
      <c r="D65" s="126" t="s">
        <v>168</v>
      </c>
      <c r="E65" s="71" t="s">
        <v>230</v>
      </c>
      <c r="F65" s="71" t="s">
        <v>231</v>
      </c>
      <c r="G65" s="71" t="s">
        <v>261</v>
      </c>
      <c r="H65" s="75" t="s">
        <v>553</v>
      </c>
    </row>
    <row r="66" spans="4:8" x14ac:dyDescent="0.2">
      <c r="D66" s="126" t="s">
        <v>169</v>
      </c>
      <c r="E66" s="71" t="s">
        <v>85</v>
      </c>
      <c r="F66" s="71" t="s">
        <v>214</v>
      </c>
      <c r="G66" s="71" t="s">
        <v>246</v>
      </c>
      <c r="H66" s="75" t="s">
        <v>554</v>
      </c>
    </row>
    <row r="67" spans="4:8" x14ac:dyDescent="0.2">
      <c r="D67" s="126" t="s">
        <v>170</v>
      </c>
      <c r="E67" s="71" t="s">
        <v>80</v>
      </c>
      <c r="F67" s="71" t="s">
        <v>215</v>
      </c>
      <c r="G67" s="71" t="s">
        <v>247</v>
      </c>
      <c r="H67" s="75" t="s">
        <v>555</v>
      </c>
    </row>
    <row r="68" spans="4:8" x14ac:dyDescent="0.2">
      <c r="D68" s="126" t="s">
        <v>171</v>
      </c>
      <c r="E68" s="71" t="s">
        <v>73</v>
      </c>
      <c r="F68" s="71" t="s">
        <v>216</v>
      </c>
      <c r="G68" s="71" t="s">
        <v>248</v>
      </c>
      <c r="H68" s="75" t="s">
        <v>556</v>
      </c>
    </row>
    <row r="69" spans="4:8" x14ac:dyDescent="0.2">
      <c r="D69" s="126" t="s">
        <v>172</v>
      </c>
      <c r="E69" s="71" t="s">
        <v>82</v>
      </c>
      <c r="F69" s="71" t="s">
        <v>217</v>
      </c>
      <c r="G69" s="71" t="s">
        <v>249</v>
      </c>
      <c r="H69" s="75" t="s">
        <v>557</v>
      </c>
    </row>
    <row r="70" spans="4:8" x14ac:dyDescent="0.2">
      <c r="D70" s="126" t="s">
        <v>173</v>
      </c>
      <c r="E70" s="71" t="s">
        <v>81</v>
      </c>
      <c r="F70" s="71" t="s">
        <v>218</v>
      </c>
      <c r="G70" s="71" t="s">
        <v>251</v>
      </c>
      <c r="H70" s="75" t="s">
        <v>562</v>
      </c>
    </row>
    <row r="71" spans="4:8" x14ac:dyDescent="0.2">
      <c r="D71" s="126" t="s">
        <v>174</v>
      </c>
      <c r="E71" s="71" t="s">
        <v>102</v>
      </c>
      <c r="F71" s="71" t="s">
        <v>219</v>
      </c>
      <c r="G71" s="71" t="s">
        <v>252</v>
      </c>
      <c r="H71" s="75" t="s">
        <v>558</v>
      </c>
    </row>
    <row r="72" spans="4:8" x14ac:dyDescent="0.2">
      <c r="D72" s="126" t="s">
        <v>175</v>
      </c>
      <c r="E72" s="71" t="s">
        <v>103</v>
      </c>
      <c r="F72" s="71" t="s">
        <v>220</v>
      </c>
      <c r="G72" s="71" t="s">
        <v>357</v>
      </c>
      <c r="H72" s="75" t="s">
        <v>559</v>
      </c>
    </row>
    <row r="73" spans="4:8" x14ac:dyDescent="0.2">
      <c r="D73" s="126" t="s">
        <v>176</v>
      </c>
      <c r="E73" s="71" t="s">
        <v>104</v>
      </c>
      <c r="F73" s="71" t="s">
        <v>221</v>
      </c>
      <c r="G73" s="71" t="s">
        <v>253</v>
      </c>
      <c r="H73" s="75" t="s">
        <v>560</v>
      </c>
    </row>
    <row r="74" spans="4:8" x14ac:dyDescent="0.2">
      <c r="D74" s="126" t="s">
        <v>177</v>
      </c>
      <c r="E74" s="71" t="s">
        <v>105</v>
      </c>
      <c r="F74" s="71" t="s">
        <v>222</v>
      </c>
      <c r="G74" s="71" t="s">
        <v>254</v>
      </c>
      <c r="H74" s="75" t="s">
        <v>561</v>
      </c>
    </row>
    <row r="75" spans="4:8" x14ac:dyDescent="0.2">
      <c r="D75" s="126" t="s">
        <v>178</v>
      </c>
      <c r="E75" s="71" t="s">
        <v>48</v>
      </c>
      <c r="F75" s="71" t="s">
        <v>223</v>
      </c>
      <c r="G75" s="71" t="s">
        <v>256</v>
      </c>
      <c r="H75" s="75" t="s">
        <v>563</v>
      </c>
    </row>
    <row r="76" spans="4:8" x14ac:dyDescent="0.2">
      <c r="D76" s="126" t="s">
        <v>179</v>
      </c>
      <c r="E76" s="71" t="s">
        <v>88</v>
      </c>
      <c r="F76" s="71" t="s">
        <v>224</v>
      </c>
      <c r="G76" s="71" t="s">
        <v>257</v>
      </c>
      <c r="H76" s="75" t="s">
        <v>564</v>
      </c>
    </row>
    <row r="77" spans="4:8" x14ac:dyDescent="0.2">
      <c r="D77" s="126" t="s">
        <v>180</v>
      </c>
      <c r="E77" s="71" t="s">
        <v>490</v>
      </c>
      <c r="F77" s="71" t="s">
        <v>491</v>
      </c>
      <c r="G77" s="71" t="s">
        <v>263</v>
      </c>
      <c r="H77" s="75" t="s">
        <v>565</v>
      </c>
    </row>
    <row r="78" spans="4:8" x14ac:dyDescent="0.2">
      <c r="D78" s="126" t="s">
        <v>181</v>
      </c>
      <c r="E78" s="71" t="s">
        <v>30</v>
      </c>
      <c r="F78" s="71" t="s">
        <v>225</v>
      </c>
      <c r="G78" s="71" t="s">
        <v>265</v>
      </c>
      <c r="H78" s="75" t="s">
        <v>566</v>
      </c>
    </row>
    <row r="79" spans="4:8" x14ac:dyDescent="0.2">
      <c r="D79" s="126" t="s">
        <v>182</v>
      </c>
      <c r="E79" s="71" t="s">
        <v>83</v>
      </c>
      <c r="F79" s="71" t="s">
        <v>226</v>
      </c>
      <c r="G79" s="71" t="s">
        <v>258</v>
      </c>
      <c r="H79" s="75" t="s">
        <v>567</v>
      </c>
    </row>
    <row r="80" spans="4:8" x14ac:dyDescent="0.2">
      <c r="D80" s="126" t="s">
        <v>183</v>
      </c>
      <c r="E80" s="71" t="s">
        <v>84</v>
      </c>
      <c r="F80" s="71" t="s">
        <v>227</v>
      </c>
      <c r="G80" s="71" t="s">
        <v>259</v>
      </c>
      <c r="H80" s="75" t="s">
        <v>568</v>
      </c>
    </row>
    <row r="81" spans="2:14" x14ac:dyDescent="0.2">
      <c r="D81" s="126" t="s">
        <v>184</v>
      </c>
      <c r="E81" s="71" t="s">
        <v>99</v>
      </c>
      <c r="F81" s="71" t="s">
        <v>228</v>
      </c>
      <c r="G81" s="71" t="s">
        <v>358</v>
      </c>
      <c r="H81" s="75" t="s">
        <v>569</v>
      </c>
    </row>
    <row r="82" spans="2:14" x14ac:dyDescent="0.2">
      <c r="D82" s="126" t="s">
        <v>185</v>
      </c>
      <c r="E82" s="71" t="s">
        <v>100</v>
      </c>
      <c r="F82" s="71" t="s">
        <v>229</v>
      </c>
      <c r="G82" s="71" t="s">
        <v>359</v>
      </c>
      <c r="H82" s="75" t="s">
        <v>570</v>
      </c>
    </row>
    <row r="83" spans="2:14" x14ac:dyDescent="0.2">
      <c r="D83" s="126" t="s">
        <v>186</v>
      </c>
      <c r="E83" s="71" t="s">
        <v>86</v>
      </c>
      <c r="F83" s="75" t="s">
        <v>232</v>
      </c>
      <c r="G83" s="71" t="s">
        <v>250</v>
      </c>
      <c r="H83" s="75" t="s">
        <v>571</v>
      </c>
    </row>
    <row r="84" spans="2:14" x14ac:dyDescent="0.2">
      <c r="D84" s="126" t="s">
        <v>187</v>
      </c>
      <c r="E84" s="71" t="s">
        <v>87</v>
      </c>
      <c r="F84" s="75" t="s">
        <v>233</v>
      </c>
      <c r="G84" s="71" t="s">
        <v>255</v>
      </c>
      <c r="H84" s="75" t="s">
        <v>572</v>
      </c>
    </row>
    <row r="85" spans="2:14" x14ac:dyDescent="0.2">
      <c r="D85" s="126" t="s">
        <v>282</v>
      </c>
      <c r="E85" s="75" t="s">
        <v>284</v>
      </c>
      <c r="F85" s="75" t="s">
        <v>285</v>
      </c>
      <c r="G85" s="75" t="s">
        <v>360</v>
      </c>
      <c r="H85" s="75" t="s">
        <v>573</v>
      </c>
    </row>
    <row r="86" spans="2:14" x14ac:dyDescent="0.2">
      <c r="E86" s="71"/>
    </row>
    <row r="87" spans="2:14" ht="13.5" thickBot="1" x14ac:dyDescent="0.25">
      <c r="D87" s="75" t="str">
        <f>D4</f>
        <v>JEZIK</v>
      </c>
      <c r="E87" s="75" t="str">
        <f t="shared" ref="E87:N87" si="1">E4</f>
        <v>ENGLISH</v>
      </c>
      <c r="F87" s="75" t="str">
        <f t="shared" si="1"/>
        <v>FRENCH</v>
      </c>
      <c r="G87" s="75" t="str">
        <f t="shared" si="1"/>
        <v>GERMAN</v>
      </c>
      <c r="H87" s="75" t="str">
        <f>H4</f>
        <v>SRPSKI</v>
      </c>
      <c r="I87" s="75">
        <f t="shared" si="1"/>
        <v>0</v>
      </c>
      <c r="J87" s="75">
        <f t="shared" si="1"/>
        <v>0</v>
      </c>
      <c r="K87" s="75">
        <f t="shared" si="1"/>
        <v>0</v>
      </c>
      <c r="L87" s="75">
        <f>L4</f>
        <v>0</v>
      </c>
      <c r="M87" s="75">
        <f t="shared" si="1"/>
        <v>0</v>
      </c>
      <c r="N87" s="75">
        <f t="shared" si="1"/>
        <v>0</v>
      </c>
    </row>
    <row r="88" spans="2:14" ht="13.5" thickBot="1" x14ac:dyDescent="0.25">
      <c r="B88" s="143" t="s">
        <v>598</v>
      </c>
      <c r="D88" s="126" t="s">
        <v>300</v>
      </c>
      <c r="E88" s="75" t="s">
        <v>380</v>
      </c>
      <c r="F88" t="s">
        <v>381</v>
      </c>
      <c r="G88" s="172" t="s">
        <v>382</v>
      </c>
      <c r="H88" s="75" t="s">
        <v>575</v>
      </c>
    </row>
    <row r="89" spans="2:14" x14ac:dyDescent="0.2">
      <c r="D89" s="126" t="s">
        <v>301</v>
      </c>
      <c r="E89" s="75" t="s">
        <v>288</v>
      </c>
      <c r="F89" t="s">
        <v>488</v>
      </c>
      <c r="G89" s="172" t="s">
        <v>361</v>
      </c>
      <c r="H89" s="75" t="s">
        <v>576</v>
      </c>
    </row>
    <row r="90" spans="2:14" x14ac:dyDescent="0.2">
      <c r="D90" s="126" t="s">
        <v>302</v>
      </c>
      <c r="E90" s="75" t="s">
        <v>328</v>
      </c>
      <c r="F90" t="s">
        <v>317</v>
      </c>
      <c r="G90" s="172" t="s">
        <v>362</v>
      </c>
      <c r="H90" s="75" t="s">
        <v>578</v>
      </c>
    </row>
    <row r="91" spans="2:14" x14ac:dyDescent="0.2">
      <c r="D91" s="126" t="s">
        <v>303</v>
      </c>
      <c r="E91" s="172" t="s">
        <v>497</v>
      </c>
      <c r="F91" t="s">
        <v>407</v>
      </c>
      <c r="G91" s="172" t="s">
        <v>408</v>
      </c>
      <c r="H91" s="172" t="s">
        <v>577</v>
      </c>
    </row>
    <row r="92" spans="2:14" x14ac:dyDescent="0.2">
      <c r="D92" s="126" t="s">
        <v>304</v>
      </c>
      <c r="E92" s="75" t="s">
        <v>289</v>
      </c>
      <c r="F92" t="s">
        <v>442</v>
      </c>
      <c r="G92" s="172" t="s">
        <v>376</v>
      </c>
      <c r="H92" s="75" t="s">
        <v>580</v>
      </c>
    </row>
    <row r="93" spans="2:14" x14ac:dyDescent="0.2">
      <c r="D93" s="126" t="s">
        <v>305</v>
      </c>
      <c r="E93" s="75" t="s">
        <v>290</v>
      </c>
      <c r="F93" t="s">
        <v>291</v>
      </c>
      <c r="G93" s="172" t="s">
        <v>373</v>
      </c>
      <c r="H93" s="75" t="s">
        <v>581</v>
      </c>
    </row>
    <row r="94" spans="2:14" x14ac:dyDescent="0.2">
      <c r="D94" s="126" t="s">
        <v>306</v>
      </c>
      <c r="E94" s="75" t="s">
        <v>440</v>
      </c>
      <c r="F94" t="s">
        <v>439</v>
      </c>
      <c r="G94" s="172" t="s">
        <v>375</v>
      </c>
      <c r="H94" s="75" t="s">
        <v>582</v>
      </c>
    </row>
    <row r="95" spans="2:14" ht="15.75" x14ac:dyDescent="0.2">
      <c r="D95" s="126" t="s">
        <v>307</v>
      </c>
      <c r="E95" s="75" t="s">
        <v>478</v>
      </c>
      <c r="F95" t="s">
        <v>479</v>
      </c>
      <c r="G95" s="172" t="s">
        <v>480</v>
      </c>
      <c r="H95" s="75" t="s">
        <v>583</v>
      </c>
    </row>
    <row r="96" spans="2:14" x14ac:dyDescent="0.2">
      <c r="D96" s="126" t="s">
        <v>308</v>
      </c>
      <c r="E96" s="75" t="s">
        <v>475</v>
      </c>
      <c r="F96" t="s">
        <v>476</v>
      </c>
      <c r="G96" s="172" t="s">
        <v>477</v>
      </c>
      <c r="H96" s="75" t="s">
        <v>584</v>
      </c>
    </row>
    <row r="97" spans="4:8" x14ac:dyDescent="0.2">
      <c r="D97" s="126" t="s">
        <v>309</v>
      </c>
      <c r="E97" s="75" t="s">
        <v>346</v>
      </c>
      <c r="F97" t="s">
        <v>444</v>
      </c>
      <c r="G97" s="172" t="s">
        <v>363</v>
      </c>
      <c r="H97" s="75" t="s">
        <v>585</v>
      </c>
    </row>
    <row r="98" spans="4:8" x14ac:dyDescent="0.2">
      <c r="D98" s="126" t="s">
        <v>310</v>
      </c>
      <c r="E98" s="75" t="s">
        <v>423</v>
      </c>
      <c r="F98" t="s">
        <v>443</v>
      </c>
      <c r="G98" s="172" t="s">
        <v>364</v>
      </c>
      <c r="H98" s="75" t="s">
        <v>586</v>
      </c>
    </row>
    <row r="99" spans="4:8" x14ac:dyDescent="0.2">
      <c r="D99" s="126" t="s">
        <v>311</v>
      </c>
      <c r="E99" s="75" t="s">
        <v>492</v>
      </c>
      <c r="F99" t="s">
        <v>493</v>
      </c>
      <c r="G99" s="172" t="s">
        <v>494</v>
      </c>
      <c r="H99" s="75" t="s">
        <v>587</v>
      </c>
    </row>
    <row r="100" spans="4:8" x14ac:dyDescent="0.2">
      <c r="D100" s="126" t="s">
        <v>312</v>
      </c>
      <c r="E100" s="75" t="s">
        <v>377</v>
      </c>
      <c r="F100" t="s">
        <v>378</v>
      </c>
      <c r="G100" s="172" t="s">
        <v>374</v>
      </c>
      <c r="H100" s="75" t="s">
        <v>588</v>
      </c>
    </row>
    <row r="101" spans="4:8" x14ac:dyDescent="0.2">
      <c r="D101" s="126" t="s">
        <v>313</v>
      </c>
      <c r="E101" s="75" t="s">
        <v>329</v>
      </c>
      <c r="F101" t="s">
        <v>292</v>
      </c>
      <c r="G101" s="172" t="s">
        <v>365</v>
      </c>
      <c r="H101" s="75" t="s">
        <v>589</v>
      </c>
    </row>
    <row r="102" spans="4:8" x14ac:dyDescent="0.2">
      <c r="D102" s="126" t="s">
        <v>314</v>
      </c>
      <c r="E102" s="75" t="s">
        <v>489</v>
      </c>
      <c r="F102" t="s">
        <v>334</v>
      </c>
      <c r="G102" s="172" t="s">
        <v>366</v>
      </c>
      <c r="H102" s="75" t="s">
        <v>590</v>
      </c>
    </row>
    <row r="103" spans="4:8" x14ac:dyDescent="0.2">
      <c r="D103" s="126" t="s">
        <v>315</v>
      </c>
      <c r="E103" s="75" t="s">
        <v>330</v>
      </c>
      <c r="F103" t="s">
        <v>293</v>
      </c>
      <c r="G103" s="172" t="s">
        <v>367</v>
      </c>
      <c r="H103" s="75" t="s">
        <v>591</v>
      </c>
    </row>
    <row r="104" spans="4:8" x14ac:dyDescent="0.2">
      <c r="D104" s="126" t="s">
        <v>316</v>
      </c>
      <c r="E104" s="75" t="s">
        <v>383</v>
      </c>
      <c r="F104" t="s">
        <v>384</v>
      </c>
      <c r="G104" s="172" t="s">
        <v>385</v>
      </c>
      <c r="H104" s="75" t="s">
        <v>592</v>
      </c>
    </row>
    <row r="105" spans="4:8" x14ac:dyDescent="0.2">
      <c r="D105" s="126" t="s">
        <v>322</v>
      </c>
      <c r="E105" s="75" t="s">
        <v>331</v>
      </c>
      <c r="F105" s="172" t="s">
        <v>333</v>
      </c>
      <c r="G105" s="172" t="s">
        <v>368</v>
      </c>
      <c r="H105" s="75" t="s">
        <v>593</v>
      </c>
    </row>
    <row r="106" spans="4:8" x14ac:dyDescent="0.2">
      <c r="D106" s="126" t="s">
        <v>323</v>
      </c>
      <c r="E106" s="75" t="s">
        <v>325</v>
      </c>
      <c r="F106" s="5" t="s">
        <v>326</v>
      </c>
      <c r="G106" s="172" t="s">
        <v>369</v>
      </c>
      <c r="H106" s="75" t="s">
        <v>594</v>
      </c>
    </row>
    <row r="107" spans="4:8" x14ac:dyDescent="0.2">
      <c r="D107" s="126" t="s">
        <v>324</v>
      </c>
      <c r="E107" s="75" t="s">
        <v>332</v>
      </c>
      <c r="F107" s="5" t="s">
        <v>327</v>
      </c>
      <c r="G107" s="172" t="s">
        <v>370</v>
      </c>
      <c r="H107" s="75" t="s">
        <v>595</v>
      </c>
    </row>
    <row r="108" spans="4:8" x14ac:dyDescent="0.2">
      <c r="F108"/>
    </row>
    <row r="109" spans="4:8" x14ac:dyDescent="0.2">
      <c r="F109"/>
    </row>
    <row r="110" spans="4:8" x14ac:dyDescent="0.2">
      <c r="F110"/>
    </row>
    <row r="111" spans="4:8" x14ac:dyDescent="0.2">
      <c r="F111"/>
    </row>
    <row r="112" spans="4:8" x14ac:dyDescent="0.2">
      <c r="F112"/>
    </row>
  </sheetData>
  <mergeCells count="3">
    <mergeCell ref="B62:C62"/>
    <mergeCell ref="B32:C32"/>
    <mergeCell ref="B22:C22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Uvod</vt:lpstr>
      <vt:lpstr>Posao ili Ceo dan</vt:lpstr>
      <vt:lpstr>Zadatak-ulazni podaci</vt:lpstr>
      <vt:lpstr>Zadatak-rezultati</vt:lpstr>
      <vt:lpstr>Jezik</vt:lpstr>
    </vt:vector>
  </TitlesOfParts>
  <Company>inrs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leon.thiery</dc:creator>
  <cp:lastModifiedBy>Darko Mihajlov</cp:lastModifiedBy>
  <cp:lastPrinted>2009-03-04T11:15:37Z</cp:lastPrinted>
  <dcterms:created xsi:type="dcterms:W3CDTF">2007-03-27T09:30:13Z</dcterms:created>
  <dcterms:modified xsi:type="dcterms:W3CDTF">2024-01-17T14:14:45Z</dcterms:modified>
</cp:coreProperties>
</file>